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155" windowHeight="11760" activeTab="1"/>
  </bookViews>
  <sheets>
    <sheet name="исх. данные" sheetId="4" r:id="rId1"/>
    <sheet name="приложение 10 " sheetId="1" r:id="rId2"/>
  </sheets>
  <definedNames>
    <definedName name="_xlnm.Print_Titles" localSheetId="0">'исх. данные'!$6:$7</definedName>
    <definedName name="_xlnm.Print_Titles" localSheetId="1">'приложение 10 '!$6:$7</definedName>
  </definedNames>
  <calcPr calcId="144525"/>
</workbook>
</file>

<file path=xl/calcChain.xml><?xml version="1.0" encoding="utf-8"?>
<calcChain xmlns="http://schemas.openxmlformats.org/spreadsheetml/2006/main">
  <c r="Q49" i="4" l="1"/>
  <c r="P49" i="4"/>
  <c r="O49" i="4"/>
  <c r="N49" i="4"/>
  <c r="Q46" i="4"/>
  <c r="P46" i="4"/>
  <c r="O46" i="4"/>
  <c r="N46" i="4"/>
  <c r="Q45" i="4"/>
  <c r="P45" i="4"/>
  <c r="O45" i="4"/>
  <c r="N45" i="4"/>
  <c r="M45" i="4"/>
  <c r="Q44" i="4"/>
  <c r="N44" i="4"/>
  <c r="O44" i="4" s="1"/>
  <c r="N42" i="4"/>
  <c r="Q22" i="4"/>
  <c r="Q23" i="4"/>
  <c r="P21" i="4"/>
  <c r="O21" i="4"/>
  <c r="L29" i="4" l="1"/>
  <c r="L51" i="4" l="1"/>
  <c r="L48" i="4"/>
  <c r="L47" i="4"/>
  <c r="L46" i="4" s="1"/>
  <c r="L45" i="4"/>
  <c r="L42" i="4"/>
  <c r="L43" i="4" s="1"/>
  <c r="L40" i="4"/>
  <c r="M47" i="4" l="1"/>
  <c r="N47" i="4" s="1"/>
  <c r="O47" i="4" s="1"/>
  <c r="O35" i="1"/>
  <c r="M46" i="4"/>
  <c r="K36" i="4"/>
  <c r="L24" i="4"/>
  <c r="M24" i="4" s="1"/>
  <c r="N24" i="4" s="1"/>
  <c r="O24" i="4" s="1"/>
  <c r="L23" i="4"/>
  <c r="M19" i="1" s="1"/>
  <c r="M22" i="4"/>
  <c r="N22" i="4" s="1"/>
  <c r="O22" i="4" s="1"/>
  <c r="M21" i="4"/>
  <c r="N21" i="4" s="1"/>
  <c r="L20" i="4"/>
  <c r="M20" i="4" s="1"/>
  <c r="N20" i="4" s="1"/>
  <c r="O20" i="4" s="1"/>
  <c r="P20" i="4" s="1"/>
  <c r="O16" i="1" l="1"/>
  <c r="P35" i="1"/>
  <c r="P47" i="4"/>
  <c r="O17" i="1"/>
  <c r="Q47" i="4" l="1"/>
  <c r="Q35" i="1"/>
  <c r="P17" i="1"/>
  <c r="P22" i="4"/>
  <c r="P16" i="1"/>
  <c r="P24" i="4"/>
  <c r="M50" i="4"/>
  <c r="N50" i="4" s="1"/>
  <c r="O50" i="4" s="1"/>
  <c r="M51" i="4"/>
  <c r="N51" i="4" s="1"/>
  <c r="L35" i="4"/>
  <c r="M35" i="4" s="1"/>
  <c r="N35" i="4" s="1"/>
  <c r="O35" i="4" s="1"/>
  <c r="L41" i="4"/>
  <c r="L38" i="4"/>
  <c r="L37" i="4"/>
  <c r="L36" i="4"/>
  <c r="L34" i="4"/>
  <c r="L33" i="4"/>
  <c r="L19" i="4"/>
  <c r="L12" i="4"/>
  <c r="L17" i="4" s="1"/>
  <c r="L11" i="4"/>
  <c r="L16" i="4" s="1"/>
  <c r="L10" i="4"/>
  <c r="L9" i="4"/>
  <c r="L14" i="4" s="1"/>
  <c r="L8" i="4"/>
  <c r="O51" i="4" l="1"/>
  <c r="P51" i="4" s="1"/>
  <c r="Q51" i="4" s="1"/>
  <c r="L49" i="4"/>
  <c r="L15" i="4"/>
  <c r="O38" i="1"/>
  <c r="Q24" i="4"/>
  <c r="Q20" i="4"/>
  <c r="Q16" i="1"/>
  <c r="Q21" i="4"/>
  <c r="Q17" i="1"/>
  <c r="R35" i="1"/>
  <c r="L39" i="1"/>
  <c r="L38" i="1"/>
  <c r="L37" i="1"/>
  <c r="L36" i="1"/>
  <c r="L35" i="1"/>
  <c r="L34" i="1"/>
  <c r="L33" i="1"/>
  <c r="L32" i="1"/>
  <c r="L30" i="1"/>
  <c r="L29" i="1"/>
  <c r="L28" i="1"/>
  <c r="L27" i="1"/>
  <c r="L26" i="1"/>
  <c r="L25" i="1"/>
  <c r="L24" i="1"/>
  <c r="L20" i="1"/>
  <c r="L19" i="1"/>
  <c r="L18" i="1"/>
  <c r="L17" i="1"/>
  <c r="L16" i="1"/>
  <c r="L14" i="1"/>
  <c r="L13" i="1"/>
  <c r="L12" i="1"/>
  <c r="L11" i="1"/>
  <c r="L10" i="1"/>
  <c r="L9" i="1"/>
  <c r="R17" i="1" l="1"/>
  <c r="R16" i="1"/>
  <c r="P50" i="4"/>
  <c r="P38" i="1"/>
  <c r="P35" i="4"/>
  <c r="I39" i="4"/>
  <c r="Q35" i="4" l="1"/>
  <c r="Q50" i="4"/>
  <c r="Q38" i="1"/>
  <c r="J52" i="4"/>
  <c r="L52" i="4" s="1"/>
  <c r="M52" i="4" s="1"/>
  <c r="N52" i="4" s="1"/>
  <c r="O52" i="4" s="1"/>
  <c r="J49" i="4"/>
  <c r="M48" i="4"/>
  <c r="J48" i="4"/>
  <c r="J53" i="4"/>
  <c r="L53" i="4" s="1"/>
  <c r="M53" i="4" s="1"/>
  <c r="N53" i="4" s="1"/>
  <c r="M37" i="4"/>
  <c r="N37" i="4" s="1"/>
  <c r="O37" i="4" s="1"/>
  <c r="J37" i="4"/>
  <c r="M30" i="4"/>
  <c r="N30" i="4" s="1"/>
  <c r="O30" i="4" s="1"/>
  <c r="J30" i="4"/>
  <c r="J12" i="1"/>
  <c r="O53" i="4" l="1"/>
  <c r="P53" i="4" s="1"/>
  <c r="Q53" i="4" s="1"/>
  <c r="N48" i="4"/>
  <c r="O48" i="4" s="1"/>
  <c r="O39" i="1"/>
  <c r="R38" i="1"/>
  <c r="J50" i="4"/>
  <c r="J51" i="4" s="1"/>
  <c r="M32" i="4"/>
  <c r="N32" i="4" s="1"/>
  <c r="O32" i="4" s="1"/>
  <c r="J32" i="4"/>
  <c r="M12" i="4"/>
  <c r="J12" i="4"/>
  <c r="M8" i="4"/>
  <c r="N8" i="4" s="1"/>
  <c r="O8" i="4" s="1"/>
  <c r="O13" i="4" s="1"/>
  <c r="J8" i="4"/>
  <c r="N13" i="4" l="1"/>
  <c r="O9" i="1" s="1"/>
  <c r="N12" i="4"/>
  <c r="M17" i="4"/>
  <c r="P52" i="4"/>
  <c r="P39" i="1"/>
  <c r="P37" i="4"/>
  <c r="P30" i="4"/>
  <c r="J40" i="4"/>
  <c r="M40" i="4" s="1"/>
  <c r="N40" i="4" s="1"/>
  <c r="O40" i="4" s="1"/>
  <c r="J42" i="4"/>
  <c r="J43" i="4" s="1"/>
  <c r="N17" i="4" l="1"/>
  <c r="O12" i="4"/>
  <c r="O17" i="4" s="1"/>
  <c r="P48" i="4"/>
  <c r="Q52" i="4"/>
  <c r="Q39" i="1"/>
  <c r="P32" i="4"/>
  <c r="Q30" i="4"/>
  <c r="Q37" i="4"/>
  <c r="O13" i="1"/>
  <c r="P8" i="4"/>
  <c r="P9" i="1"/>
  <c r="H22" i="4"/>
  <c r="H21" i="4"/>
  <c r="H20" i="4"/>
  <c r="J35" i="4"/>
  <c r="P40" i="4" l="1"/>
  <c r="Q32" i="4"/>
  <c r="R39" i="1"/>
  <c r="Q48" i="4"/>
  <c r="Q8" i="4"/>
  <c r="P13" i="4"/>
  <c r="Q9" i="1" s="1"/>
  <c r="P12" i="4"/>
  <c r="P17" i="4" s="1"/>
  <c r="P13" i="1"/>
  <c r="M42" i="4"/>
  <c r="I36" i="1"/>
  <c r="O42" i="4" l="1"/>
  <c r="O43" i="4" s="1"/>
  <c r="M43" i="4"/>
  <c r="Q12" i="4"/>
  <c r="Q17" i="4" s="1"/>
  <c r="Q13" i="1"/>
  <c r="Q13" i="4"/>
  <c r="R9" i="1" s="1"/>
  <c r="Q40" i="4"/>
  <c r="G36" i="1"/>
  <c r="J24" i="4"/>
  <c r="J21" i="4"/>
  <c r="J20" i="4"/>
  <c r="J46" i="4"/>
  <c r="J44" i="4"/>
  <c r="J45" i="4" s="1"/>
  <c r="J41" i="4"/>
  <c r="M41" i="4" s="1"/>
  <c r="N41" i="4" s="1"/>
  <c r="O41" i="4" s="1"/>
  <c r="J31" i="4"/>
  <c r="M31" i="4" s="1"/>
  <c r="N31" i="4" s="1"/>
  <c r="O31" i="4" s="1"/>
  <c r="J36" i="1"/>
  <c r="H13" i="4"/>
  <c r="R13" i="1" l="1"/>
  <c r="N43" i="4"/>
  <c r="O33" i="1" s="1"/>
  <c r="O32" i="1"/>
  <c r="M44" i="4"/>
  <c r="J47" i="4"/>
  <c r="P41" i="4" l="1"/>
  <c r="P32" i="1"/>
  <c r="P42" i="4"/>
  <c r="P33" i="1"/>
  <c r="P31" i="4"/>
  <c r="H39" i="4"/>
  <c r="Q31" i="4" l="1"/>
  <c r="Q42" i="4"/>
  <c r="P43" i="4"/>
  <c r="Q33" i="1" s="1"/>
  <c r="Q41" i="4"/>
  <c r="Q32" i="1"/>
  <c r="O34" i="1"/>
  <c r="H26" i="4"/>
  <c r="P44" i="4" l="1"/>
  <c r="P34" i="1"/>
  <c r="R32" i="1"/>
  <c r="Q43" i="4"/>
  <c r="R33" i="1" s="1"/>
  <c r="J26" i="4"/>
  <c r="J20" i="1"/>
  <c r="J19" i="1"/>
  <c r="H47" i="4"/>
  <c r="H24" i="4"/>
  <c r="I20" i="1" s="1"/>
  <c r="I19" i="1"/>
  <c r="H25" i="4"/>
  <c r="I17" i="1" s="1"/>
  <c r="I18" i="1"/>
  <c r="I13" i="1"/>
  <c r="I12" i="1"/>
  <c r="I11" i="1"/>
  <c r="I10" i="1"/>
  <c r="I38" i="1"/>
  <c r="I37" i="1"/>
  <c r="I35" i="1"/>
  <c r="I34" i="1"/>
  <c r="I33" i="1"/>
  <c r="I32" i="1"/>
  <c r="I30" i="1"/>
  <c r="I29" i="1"/>
  <c r="I28" i="1"/>
  <c r="I27" i="1"/>
  <c r="I26" i="1"/>
  <c r="I25" i="1"/>
  <c r="I24" i="1"/>
  <c r="I14" i="1"/>
  <c r="I9" i="1"/>
  <c r="Q34" i="1" l="1"/>
  <c r="K20" i="1"/>
  <c r="I16" i="1"/>
  <c r="G39" i="4"/>
  <c r="R34" i="1" l="1"/>
  <c r="M26" i="4"/>
  <c r="M20" i="1"/>
  <c r="N17" i="1"/>
  <c r="M17" i="1"/>
  <c r="M13" i="4"/>
  <c r="N9" i="1" s="1"/>
  <c r="F43" i="4"/>
  <c r="H33" i="1"/>
  <c r="F42" i="4"/>
  <c r="G33" i="1" s="1"/>
  <c r="E43" i="4"/>
  <c r="E42" i="4"/>
  <c r="F33" i="1" s="1"/>
  <c r="D43" i="4"/>
  <c r="D42" i="4"/>
  <c r="F39" i="4"/>
  <c r="G30" i="1" s="1"/>
  <c r="E39" i="4"/>
  <c r="D39" i="4"/>
  <c r="E30" i="1" s="1"/>
  <c r="G37" i="1"/>
  <c r="F37" i="1"/>
  <c r="E37" i="1"/>
  <c r="G39" i="1"/>
  <c r="F39" i="1"/>
  <c r="E39" i="1"/>
  <c r="G38" i="1"/>
  <c r="F38" i="1"/>
  <c r="E38" i="1"/>
  <c r="F36" i="1"/>
  <c r="E36" i="1"/>
  <c r="G34" i="1"/>
  <c r="F34" i="1"/>
  <c r="E34" i="1"/>
  <c r="G32" i="1"/>
  <c r="F32" i="1"/>
  <c r="E32" i="1"/>
  <c r="F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1" i="1"/>
  <c r="E24" i="1"/>
  <c r="H21" i="1"/>
  <c r="G21" i="1"/>
  <c r="F21" i="1"/>
  <c r="G14" i="1"/>
  <c r="F14" i="1"/>
  <c r="E14" i="1"/>
  <c r="F13" i="1"/>
  <c r="E13" i="1"/>
  <c r="F12" i="1"/>
  <c r="E12" i="1"/>
  <c r="G11" i="1"/>
  <c r="F11" i="1"/>
  <c r="E11" i="1"/>
  <c r="F10" i="1"/>
  <c r="E10" i="1"/>
  <c r="G9" i="1"/>
  <c r="F9" i="1"/>
  <c r="E9" i="1"/>
  <c r="G53" i="4"/>
  <c r="H32" i="1"/>
  <c r="F21" i="4"/>
  <c r="F26" i="4"/>
  <c r="G19" i="1" s="1"/>
  <c r="E26" i="4"/>
  <c r="F19" i="1" s="1"/>
  <c r="D26" i="4"/>
  <c r="E19" i="1" s="1"/>
  <c r="F25" i="4"/>
  <c r="E25" i="4"/>
  <c r="D25" i="4"/>
  <c r="F24" i="4"/>
  <c r="G20" i="1" s="1"/>
  <c r="E24" i="4"/>
  <c r="F20" i="1" s="1"/>
  <c r="D24" i="4"/>
  <c r="E20" i="1" s="1"/>
  <c r="F22" i="4"/>
  <c r="E22" i="4"/>
  <c r="F18" i="1" s="1"/>
  <c r="D22" i="4"/>
  <c r="E21" i="4"/>
  <c r="F17" i="1" s="1"/>
  <c r="D21" i="4"/>
  <c r="E17" i="1" s="1"/>
  <c r="F20" i="4"/>
  <c r="G16" i="1" s="1"/>
  <c r="E20" i="4"/>
  <c r="D20" i="4"/>
  <c r="E16" i="1" s="1"/>
  <c r="H28" i="1"/>
  <c r="H29" i="1"/>
  <c r="H14" i="1"/>
  <c r="H11" i="1"/>
  <c r="H38" i="1"/>
  <c r="F47" i="4"/>
  <c r="G35" i="1" s="1"/>
  <c r="E47" i="4"/>
  <c r="F35" i="1" s="1"/>
  <c r="D47" i="4"/>
  <c r="E35" i="1" s="1"/>
  <c r="H34" i="1"/>
  <c r="H26" i="1"/>
  <c r="H24" i="1"/>
  <c r="G13" i="4"/>
  <c r="H9" i="1" s="1"/>
  <c r="K16" i="1"/>
  <c r="N16" i="1"/>
  <c r="J16" i="1"/>
  <c r="M16" i="1"/>
  <c r="J9" i="4"/>
  <c r="J14" i="4" s="1"/>
  <c r="G17" i="1"/>
  <c r="J23" i="4"/>
  <c r="H25" i="1"/>
  <c r="J10" i="1"/>
  <c r="J25" i="1"/>
  <c r="J34" i="1"/>
  <c r="H20" i="1"/>
  <c r="J38" i="4"/>
  <c r="H36" i="1"/>
  <c r="J9" i="1"/>
  <c r="J29" i="4"/>
  <c r="M29" i="4" s="1"/>
  <c r="N29" i="4" s="1"/>
  <c r="O29" i="4" s="1"/>
  <c r="O39" i="4" s="1"/>
  <c r="J17" i="1"/>
  <c r="H27" i="1"/>
  <c r="J14" i="1"/>
  <c r="J10" i="4"/>
  <c r="J15" i="4" s="1"/>
  <c r="J38" i="1"/>
  <c r="J11" i="1"/>
  <c r="M34" i="1"/>
  <c r="N34" i="1"/>
  <c r="K38" i="1"/>
  <c r="G18" i="1" l="1"/>
  <c r="E18" i="1"/>
  <c r="E33" i="1"/>
  <c r="N20" i="1"/>
  <c r="N26" i="4"/>
  <c r="O26" i="4" s="1"/>
  <c r="N39" i="4"/>
  <c r="K19" i="1"/>
  <c r="K29" i="1"/>
  <c r="F16" i="1"/>
  <c r="H39" i="1"/>
  <c r="L13" i="4"/>
  <c r="M9" i="1" s="1"/>
  <c r="J13" i="4"/>
  <c r="K9" i="1" s="1"/>
  <c r="J29" i="1"/>
  <c r="I39" i="1"/>
  <c r="J32" i="1"/>
  <c r="K10" i="1"/>
  <c r="J33" i="1"/>
  <c r="J26" i="1"/>
  <c r="J13" i="1"/>
  <c r="H37" i="1"/>
  <c r="M32" i="1"/>
  <c r="K32" i="1"/>
  <c r="J19" i="4"/>
  <c r="M11" i="1"/>
  <c r="K34" i="1"/>
  <c r="N38" i="1"/>
  <c r="M38" i="1"/>
  <c r="K11" i="1"/>
  <c r="J34" i="4"/>
  <c r="H30" i="1"/>
  <c r="H35" i="1"/>
  <c r="H18" i="1"/>
  <c r="K13" i="1"/>
  <c r="J28" i="1"/>
  <c r="H17" i="1"/>
  <c r="O20" i="1" l="1"/>
  <c r="O18" i="1"/>
  <c r="P29" i="4"/>
  <c r="M23" i="4"/>
  <c r="M10" i="4"/>
  <c r="J39" i="1"/>
  <c r="N32" i="1"/>
  <c r="M10" i="1"/>
  <c r="M9" i="4"/>
  <c r="K33" i="1"/>
  <c r="M29" i="1"/>
  <c r="M38" i="4"/>
  <c r="N38" i="4" s="1"/>
  <c r="O38" i="4" s="1"/>
  <c r="K25" i="1"/>
  <c r="K17" i="1"/>
  <c r="K14" i="1"/>
  <c r="M13" i="1"/>
  <c r="J24" i="1"/>
  <c r="J11" i="4"/>
  <c r="J16" i="4" s="1"/>
  <c r="K12" i="1" s="1"/>
  <c r="K28" i="1"/>
  <c r="K26" i="1"/>
  <c r="O29" i="1" l="1"/>
  <c r="N19" i="1"/>
  <c r="N23" i="4"/>
  <c r="O23" i="4" s="1"/>
  <c r="Q29" i="4"/>
  <c r="P39" i="4"/>
  <c r="N9" i="4"/>
  <c r="M14" i="4"/>
  <c r="N10" i="4"/>
  <c r="M15" i="4"/>
  <c r="P26" i="4"/>
  <c r="P18" i="1"/>
  <c r="P20" i="1"/>
  <c r="N10" i="1"/>
  <c r="K36" i="1"/>
  <c r="N11" i="1"/>
  <c r="N29" i="1"/>
  <c r="K39" i="1"/>
  <c r="N13" i="1"/>
  <c r="M33" i="1"/>
  <c r="N33" i="1"/>
  <c r="J37" i="1"/>
  <c r="M14" i="1"/>
  <c r="M19" i="4"/>
  <c r="M26" i="1"/>
  <c r="M34" i="4"/>
  <c r="J18" i="1"/>
  <c r="J22" i="4"/>
  <c r="M28" i="1"/>
  <c r="M36" i="4"/>
  <c r="M12" i="1"/>
  <c r="J30" i="1"/>
  <c r="J27" i="1"/>
  <c r="M25" i="1"/>
  <c r="K24" i="1"/>
  <c r="J35" i="1"/>
  <c r="N15" i="4" l="1"/>
  <c r="O10" i="4"/>
  <c r="N14" i="4"/>
  <c r="O9" i="4"/>
  <c r="O14" i="4" s="1"/>
  <c r="N28" i="1"/>
  <c r="N36" i="4"/>
  <c r="O36" i="4" s="1"/>
  <c r="N26" i="1"/>
  <c r="N34" i="4"/>
  <c r="O34" i="4" s="1"/>
  <c r="Q26" i="4"/>
  <c r="Q20" i="1"/>
  <c r="Q18" i="1"/>
  <c r="O11" i="1"/>
  <c r="O10" i="1"/>
  <c r="O19" i="1"/>
  <c r="N14" i="1"/>
  <c r="N19" i="4"/>
  <c r="O19" i="4" s="1"/>
  <c r="Q39" i="4"/>
  <c r="P38" i="4"/>
  <c r="P29" i="1"/>
  <c r="M36" i="1"/>
  <c r="N39" i="1"/>
  <c r="M39" i="1"/>
  <c r="K35" i="1"/>
  <c r="J39" i="4"/>
  <c r="K30" i="1" s="1"/>
  <c r="K27" i="1"/>
  <c r="K18" i="1"/>
  <c r="N25" i="1"/>
  <c r="M24" i="1"/>
  <c r="M33" i="4"/>
  <c r="N33" i="4" s="1"/>
  <c r="O33" i="4" s="1"/>
  <c r="K37" i="1"/>
  <c r="M11" i="4"/>
  <c r="O15" i="4" l="1"/>
  <c r="N11" i="4"/>
  <c r="M16" i="4"/>
  <c r="M49" i="4"/>
  <c r="Q38" i="4"/>
  <c r="Q29" i="1"/>
  <c r="P23" i="4"/>
  <c r="P19" i="1"/>
  <c r="P9" i="4"/>
  <c r="P14" i="4" s="1"/>
  <c r="P10" i="1"/>
  <c r="P10" i="4"/>
  <c r="P15" i="4" s="1"/>
  <c r="P11" i="1"/>
  <c r="O25" i="1"/>
  <c r="O26" i="1"/>
  <c r="O28" i="1"/>
  <c r="O27" i="1"/>
  <c r="O24" i="1"/>
  <c r="O30" i="1"/>
  <c r="O14" i="1"/>
  <c r="R18" i="1"/>
  <c r="R20" i="1"/>
  <c r="N36" i="1"/>
  <c r="N18" i="1"/>
  <c r="M18" i="1"/>
  <c r="M37" i="1"/>
  <c r="N12" i="1"/>
  <c r="N24" i="1"/>
  <c r="M27" i="1"/>
  <c r="L39" i="4"/>
  <c r="M30" i="1" s="1"/>
  <c r="M35" i="1"/>
  <c r="N35" i="1"/>
  <c r="N16" i="4" l="1"/>
  <c r="O11" i="4"/>
  <c r="P19" i="4"/>
  <c r="P14" i="1"/>
  <c r="P34" i="4"/>
  <c r="P25" i="1"/>
  <c r="P26" i="1"/>
  <c r="Q10" i="4"/>
  <c r="Q15" i="4" s="1"/>
  <c r="Q11" i="1"/>
  <c r="Q9" i="4"/>
  <c r="Q14" i="4" s="1"/>
  <c r="Q10" i="1"/>
  <c r="Q19" i="1"/>
  <c r="R29" i="1"/>
  <c r="P33" i="4"/>
  <c r="P27" i="1"/>
  <c r="P24" i="1"/>
  <c r="P30" i="1"/>
  <c r="P36" i="4"/>
  <c r="P28" i="1"/>
  <c r="O12" i="1"/>
  <c r="O36" i="1"/>
  <c r="O37" i="1"/>
  <c r="M39" i="4"/>
  <c r="N30" i="1" s="1"/>
  <c r="N27" i="1"/>
  <c r="N37" i="1"/>
  <c r="O16" i="4" l="1"/>
  <c r="P37" i="1"/>
  <c r="P11" i="4"/>
  <c r="P16" i="4" s="1"/>
  <c r="P12" i="1"/>
  <c r="P36" i="1"/>
  <c r="Q36" i="4"/>
  <c r="Q28" i="1"/>
  <c r="Q33" i="4"/>
  <c r="Q27" i="1"/>
  <c r="Q24" i="1"/>
  <c r="Q30" i="1"/>
  <c r="R19" i="1"/>
  <c r="R10" i="1"/>
  <c r="R11" i="1"/>
  <c r="Q34" i="4"/>
  <c r="Q25" i="1"/>
  <c r="Q26" i="1"/>
  <c r="Q19" i="4"/>
  <c r="Q14" i="1"/>
  <c r="R25" i="1" l="1"/>
  <c r="R26" i="1"/>
  <c r="R14" i="1"/>
  <c r="R27" i="1"/>
  <c r="R24" i="1"/>
  <c r="R30" i="1"/>
  <c r="R28" i="1"/>
  <c r="Q11" i="4"/>
  <c r="Q16" i="4" s="1"/>
  <c r="Q12" i="1"/>
  <c r="Q37" i="1"/>
  <c r="Q36" i="1"/>
  <c r="R12" i="1" l="1"/>
  <c r="R37" i="1"/>
  <c r="R36" i="1"/>
</calcChain>
</file>

<file path=xl/sharedStrings.xml><?xml version="1.0" encoding="utf-8"?>
<sst xmlns="http://schemas.openxmlformats.org/spreadsheetml/2006/main" count="249" uniqueCount="197">
  <si>
    <t>доля объема электрической энергии, расчеты за которую осуществляются с использованием приборов учета, в общем объеме электрической энергии, потребляемой (используемой) на территории муниципального образования;</t>
  </si>
  <si>
    <t>доля объема тепловой энергии, расчеты за которую осуществляются с использованием приборов учета, в общем объеме тепловой энергии, потребляемой (используемой) на территории муниципального образования</t>
  </si>
  <si>
    <t>доля объема холодной воды, расчеты за которую осуществляются с использованием приборов учета, в общем объеме воды, потребляемой (используемой) на территории муниципального образования</t>
  </si>
  <si>
    <t>доля объема горячей воды, расчеты за которую осуществляются с использованием приборов учета, в общем объеме воды, потребляемой (используемой) на территории муниципального образования</t>
  </si>
  <si>
    <t>доля объема природного газа, расчеты за который осуществляются с использованием приборов учета, в общем объеме природного газа, потребляемого (используемого) на территории муниципального образования</t>
  </si>
  <si>
    <t>доля объема энергетических ресурсов, производимых с использованием возобновляемых источников энергии и (или) вторичных энергетических ресурсов, в общем объеме энергетических ресурсов, производимых на территории муниципального образования</t>
  </si>
  <si>
    <t>Общие целевые показатели в области энергосбережения и повышения энергетической эффективности</t>
  </si>
  <si>
    <t>1.1</t>
  </si>
  <si>
    <t>1.2</t>
  </si>
  <si>
    <t>1.3</t>
  </si>
  <si>
    <t>1.4</t>
  </si>
  <si>
    <t>1.5</t>
  </si>
  <si>
    <t>1.6</t>
  </si>
  <si>
    <t>Целевые показатели в области энергосбережения и повышения энергетической эффективности в муниципальном секторе</t>
  </si>
  <si>
    <t>удельный расход электрической энергии на снабжение органов местного самоуправления и муниципальных учреждений (в расчете на 1 кв. метр общей площади)</t>
  </si>
  <si>
    <t>удельный расход тепловой энергии на снабжение органов местного самоуправления и муниципальных учреждений (в расчете на 1 кв. метр общей площади)</t>
  </si>
  <si>
    <t>удельный расход холодной воды на снабжение органов местного самоуправления и муниципальных учреждений (в расчете на 1 человека)</t>
  </si>
  <si>
    <t>удельный расход горячей воды на снабжение органов местного самоуправления и муниципальных учреждений (в расчете на 1 человека)</t>
  </si>
  <si>
    <t>удельный расход природного газа на снабжение органов местного самоуправления и муниципальных учреждений (в расчете на 1 человека)</t>
  </si>
  <si>
    <t>отношение экономии энергетических ресурсов и воды в стоимостном выражении, достижение которой планируется в результате реализации энергосервисных договоров (контрактов), заключенных органами местного самоуправления и муниципальными учреждениями, к общему объему финансирования муниципальной программы</t>
  </si>
  <si>
    <t>количество энергосервисных договоров (контрактов), заключенных органами местного самоуправления и муниципальными учреждениями</t>
  </si>
  <si>
    <t>Целевые показатели в области энергосбережения и повышения энергетической эффективности в жилищном фонде</t>
  </si>
  <si>
    <t>удельный расход тепловой энергии в многоквартирных домах (в расчете на 1 кв. метр общей площади)</t>
  </si>
  <si>
    <t>удельный расход холодной воды в многоквартирных домах (в расчете на 1 жителя)</t>
  </si>
  <si>
    <t>удельный расход горячей воды в многоквартирных домах (в расчете на 1 жителя)</t>
  </si>
  <si>
    <t>удельный расход электрической энергии в многоквартирных домах (в расчете на 1 кв. метр общей площади)</t>
  </si>
  <si>
    <t>удельный расход природного газа в многоквартирных домах с индивидуальными системами газового отопления (в расчете на 1 кв. метр общей площади)</t>
  </si>
  <si>
    <t>удельный расход природного газа в многоквартирных домах с иными системами теплоснабжения (в расчете на 1 жителя)</t>
  </si>
  <si>
    <t>удельный суммарный расход энергетических ресурсов в многоквартирных домах</t>
  </si>
  <si>
    <t>Целевые показатели в области энергосбережения и повышения энергетической эффективности в системах коммунальной инфраструктуры</t>
  </si>
  <si>
    <t>удельный расход топлива на выработку тепловой энергии на тепловых электростанциях</t>
  </si>
  <si>
    <t>удельный расход топлива на выработку тепловой энергии на котельных</t>
  </si>
  <si>
    <t>удельный расход электрической энергии, используемой при передаче тепловой энергии в системах теплоснабжения</t>
  </si>
  <si>
    <t>доля потерь тепловой энергии при ее передаче в общем объеме переданной тепловой энергии</t>
  </si>
  <si>
    <t>доля потерь воды при ее передаче в общем объеме переданной воды</t>
  </si>
  <si>
    <t>удельный расход электрической энергии, используемой для передачи (транспортировки) воды в системах водоснабжения (на 1 куб. метр)</t>
  </si>
  <si>
    <t>удельный расход электрической энергии, используемой в системах водоотведения (на 1 куб. метр)</t>
  </si>
  <si>
    <t>удельный расход электрической энергии в системах уличного освещения (на 1 кв. метр освещаемой площади с уровнем освещенности, соответствующим установленным нормативам)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</si>
  <si>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</si>
  <si>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</si>
  <si>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</si>
  <si>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</si>
  <si>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</si>
  <si>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</si>
  <si>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</si>
  <si>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</si>
  <si>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</si>
  <si>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</si>
  <si>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</si>
  <si>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</si>
  <si>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</si>
  <si>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</si>
  <si>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</si>
  <si>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</si>
  <si>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4.3</t>
  </si>
  <si>
    <t>4.4</t>
  </si>
  <si>
    <t>4.5</t>
  </si>
  <si>
    <t>4.6</t>
  </si>
  <si>
    <t>4.7</t>
  </si>
  <si>
    <t>4.8</t>
  </si>
  <si>
    <t>%</t>
  </si>
  <si>
    <t>Расчетная формула</t>
  </si>
  <si>
    <t>шт.</t>
  </si>
  <si>
    <t>кВт*ч/м²</t>
  </si>
  <si>
    <t>Гкал/м²</t>
  </si>
  <si>
    <t>м³/чел.</t>
  </si>
  <si>
    <t>тыс. м³/чел.</t>
  </si>
  <si>
    <t>т.у.т./млн. Гкал</t>
  </si>
  <si>
    <t>т.у.т./ Гкал</t>
  </si>
  <si>
    <t>тыс. кВт*ч/ м³</t>
  </si>
  <si>
    <t>Объем потребления ЭЭ МО</t>
  </si>
  <si>
    <t>Объем потребления ТЭ МО</t>
  </si>
  <si>
    <t>Объем потребления природного газа МО</t>
  </si>
  <si>
    <t>Объем потребления ЭЭ, расчеты за которую осуществляются с использованием приборов учета</t>
  </si>
  <si>
    <t>Объем потребления ТЭ, расчеты за которую осуществляются с использованием приборов учета</t>
  </si>
  <si>
    <t>Объем потребления природного газа, расчеты за который осуществляются с использованием приборов учета</t>
  </si>
  <si>
    <t>Объем потребления горячей воды МО</t>
  </si>
  <si>
    <t>Объем потребления холодной воды МО</t>
  </si>
  <si>
    <t>Объем потребления холодной воды, расчеты за которую осуществляются с использованием приборов учета</t>
  </si>
  <si>
    <t>Объем потребления горячей воды, расчеты за которую осуществляются с использованием приборов учета</t>
  </si>
  <si>
    <t>Объем производства энергетических ресурсов с использованием возобновляемых источников энергии и/или вторичных энергетических ресурсов</t>
  </si>
  <si>
    <t>т.у.т.</t>
  </si>
  <si>
    <t>Общий объем энергетических ресурсов, производимых на территории МО</t>
  </si>
  <si>
    <t>тыс. кВтч</t>
  </si>
  <si>
    <t>тыс. Гкал</t>
  </si>
  <si>
    <t>тыс. куб.м.</t>
  </si>
  <si>
    <t>тыс. куб.м</t>
  </si>
  <si>
    <t>кВтч</t>
  </si>
  <si>
    <t>кв.м.</t>
  </si>
  <si>
    <t>Площадь размещения муниципальных бюджетных учреждений и органов местного самоуправления</t>
  </si>
  <si>
    <t>куб.м</t>
  </si>
  <si>
    <t>чел.</t>
  </si>
  <si>
    <t>Объем потребления электрической энергии в муниципальных бюджетных учреждениях и органах местного самоуправления</t>
  </si>
  <si>
    <t>Численность сотрудников муниципальных бюджетных учреждений и органов местного самоуправления</t>
  </si>
  <si>
    <t>Объем потребления холодной воды в муниципальных бюджетных учреждениях и органах местного самоуправления</t>
  </si>
  <si>
    <t>Объем потребления горячей воды в муниципальных бюджетных учреждениях и органах местного самоуправления</t>
  </si>
  <si>
    <t>Планируемая экономия энергетических ресурсов и воды в стоимостном выражении в результате реализации энергосервисных договоров (контрактов), заключенных органами местного самоуправления и муниципальными учреждениями</t>
  </si>
  <si>
    <t>тыс. руб.</t>
  </si>
  <si>
    <t>Объем бюджетных аасигнований, предусмотренный в городском бюджете на реализацию муниципальной программы в области энергосбережения и повышения энергетической эффективности в отчетном году</t>
  </si>
  <si>
    <t>Объем потребления электрической энергии в многоквартирных домах</t>
  </si>
  <si>
    <t>Площадь многоквартирных домов</t>
  </si>
  <si>
    <t>Количество жителей, проживающих в многоквартиных домах</t>
  </si>
  <si>
    <t>Объем потребления тепловой энергии в муниципальных бюджетных учреждениях и органах местного самоуправления</t>
  </si>
  <si>
    <t>Гкал</t>
  </si>
  <si>
    <t>Объем потребления тепловой энергии в многоквартирных домах</t>
  </si>
  <si>
    <t>Объем потребления природного газа  в многоквартирных домах с индивидуальными системами газового отопления</t>
  </si>
  <si>
    <t>тыс. куб. м.</t>
  </si>
  <si>
    <t>Площадь многоквартирных домов с индивидуальными системами газового отопления</t>
  </si>
  <si>
    <t>Объем потребления топлива на выработку тепловой энергии тепловыми электростанциями</t>
  </si>
  <si>
    <t>Объем выработки тепловой энергии  тепловыми электростанциями</t>
  </si>
  <si>
    <t>млн. Гкал</t>
  </si>
  <si>
    <t>Объем потребления топлива на выработку тепловой энергии котельными</t>
  </si>
  <si>
    <t>Объем выработки тепловой энергии  котельными</t>
  </si>
  <si>
    <t>Объем потребления электрической энергии для передачи тепловой энергии в системах теплоснабжения</t>
  </si>
  <si>
    <t>Объем потерь тепловой энергии при ее передаче</t>
  </si>
  <si>
    <t>Общий объем передаваемой тепловой энергии</t>
  </si>
  <si>
    <t>Объем потерь воды при ее передаче</t>
  </si>
  <si>
    <t>Объем потребления электрической энергии для передачи воды в системах водоснабжения</t>
  </si>
  <si>
    <t>Объем потребления электрической энергии в системах водоотведения</t>
  </si>
  <si>
    <t>Общий объем водоотведенной воды</t>
  </si>
  <si>
    <t>Объем потребления электрической энергии в системах уличного освещения</t>
  </si>
  <si>
    <t>Общая площадь уличного освещения территории МО</t>
  </si>
  <si>
    <t>кв. м.</t>
  </si>
  <si>
    <t>Целевые показатели в области энергосбережения и повышения энергетической эффективности в транспортном комплексе</t>
  </si>
  <si>
    <t>количество транспортных средств, используемых органами местного самоуправления, муниципальными учреждениями, муниципальными унитарными предприятиями, в отношении которых проведены мероприятия по энергосбережению и повышению энергетической эффективности, в том числе по замещению бензина и дизельного топлива, используемых транспортными средствами в качестве моторного топлива, природным газом, газовыми смесями и сжиженным углеводородным газом, используемыми в качестве моторного топлива</t>
  </si>
  <si>
    <t>количество транспортных средств с автономным источником электрического питания, используемых органами местного самоуправления, муниципальными учреждениями и муниципальными унитарными предприятиями</t>
  </si>
  <si>
    <t>5.1</t>
  </si>
  <si>
    <t>5.2</t>
  </si>
  <si>
    <t>Объем потребления природного газа  в многоквартирных домах с иными системами  теплоснабжения</t>
  </si>
  <si>
    <t>Количество жителей проживающих в многоквартирных домах с иными системами теплоснабжения</t>
  </si>
  <si>
    <t>2012 (факт)</t>
  </si>
  <si>
    <t>2013(факт)</t>
  </si>
  <si>
    <t>2014(факт)</t>
  </si>
  <si>
    <t>2018(план)</t>
  </si>
  <si>
    <t>2019(план)</t>
  </si>
  <si>
    <t>2020(план)</t>
  </si>
  <si>
    <t>Показатель</t>
  </si>
  <si>
    <t>Ед. изм.</t>
  </si>
  <si>
    <t>№</t>
  </si>
  <si>
    <t>Объем потребления природного газа в муниципальных бюджетных учреждениях и органах местного самоуправления</t>
  </si>
  <si>
    <t xml:space="preserve">Объем потребления энергетических ресурсов в многоквартирных домах </t>
  </si>
  <si>
    <t>(ОП мо.ээ.учет/ОП мо.ээ.общий)*100</t>
  </si>
  <si>
    <t>(ОП мо.тэ.учет/ОП мо.тэ.общий)*100</t>
  </si>
  <si>
    <t>(ОП мо.хвс.учет/ОП мо.хвс.общий)*100</t>
  </si>
  <si>
    <t>(ОП мо.гвс.учет/ОП мо.гвс.общий)*100</t>
  </si>
  <si>
    <t>(ОП мо.газ.учет/ОП мо.газ.общий)*100</t>
  </si>
  <si>
    <t>(ОП мо.эр.воз/ОП мо.эр.общий)*100</t>
  </si>
  <si>
    <t>ОП ээ.мо/П мо</t>
  </si>
  <si>
    <t>ОП тэ.мо/П мо</t>
  </si>
  <si>
    <t>ОП хвс.мо/К мо</t>
  </si>
  <si>
    <t>ОП гвс.мо/К мо</t>
  </si>
  <si>
    <t>ОП газ.мо/К мо</t>
  </si>
  <si>
    <t>(ПЛАН эконом.мо/МП ба)*100</t>
  </si>
  <si>
    <t>-</t>
  </si>
  <si>
    <t>ОП мо.тэ.мкд/П мо.мкд</t>
  </si>
  <si>
    <t>ОП мо.ээ.мкд/П мо.мкд</t>
  </si>
  <si>
    <t>ОП мо.хвс.мкд/К мо.мкд</t>
  </si>
  <si>
    <t>ОП мо.гвс.мкд/К мо.мкд</t>
  </si>
  <si>
    <t>ОП мо.газ.учет.мкд/ П мо.газ.учет.мкд</t>
  </si>
  <si>
    <t>ОП мо.газ.мкд/ К мо.газ.мкд</t>
  </si>
  <si>
    <t>ОП мо.сумм.мкд/П мо.мкд</t>
  </si>
  <si>
    <t>ОП мо.тэс.тэ/ОВ мо.тыс.тэ</t>
  </si>
  <si>
    <t>ОП мо.к.тэ/ОВ мо.к.тэ</t>
  </si>
  <si>
    <t>ОП мо.ээ.передача тэ/ОТ мо.тн</t>
  </si>
  <si>
    <t>(О мо.тэ.потери/ОП мо.тэ.общий)*100</t>
  </si>
  <si>
    <t>(ОП мо.вс.передача/(ОП мо.гвс.общий+ОП мо.хвс.общий+Опмо.вс.передача))*100</t>
  </si>
  <si>
    <t>ОП мо.ээ.водоотведение/О мо.вс.отведение</t>
  </si>
  <si>
    <t>ОП мо.ээ.освещение/П мо.освещение</t>
  </si>
  <si>
    <t>Объем транспортировки теплоносителя в системе теплоснабжени</t>
  </si>
  <si>
    <t>ОП мо.ээ.передача вс/(ОП мо.гвс.общий+ОП мо.хвс.общий+ОП мо.вс.передача)</t>
  </si>
  <si>
    <t>Наименование целевого показателя</t>
  </si>
  <si>
    <t>тыс. м³/м².</t>
  </si>
  <si>
    <t>т.у.т./м²</t>
  </si>
  <si>
    <t>кВт*ч/м³</t>
  </si>
  <si>
    <t>тыс. кВт*ч/ тыс. м³</t>
  </si>
  <si>
    <t xml:space="preserve">    жилищно-коммунального и дорожного хозяйства городского округа "город Клинцы</t>
  </si>
  <si>
    <t>Целевые значения показателей (индикаторов)</t>
  </si>
  <si>
    <t xml:space="preserve">Единицы                                 измерения </t>
  </si>
  <si>
    <t xml:space="preserve">Приложение 1 </t>
  </si>
  <si>
    <t xml:space="preserve">к подпрограмме "Энергосбережение и повышение энергетической эффективности на </t>
  </si>
  <si>
    <t>Общие сведения (исходные данные) для расчета целевых показателей Подрограммы.</t>
  </si>
  <si>
    <t>Объем потребления горячей воды  в многоквартирных домах</t>
  </si>
  <si>
    <t>2015(факт)</t>
  </si>
  <si>
    <t>Объем потребления холодной воды в многоквартирных домах</t>
  </si>
  <si>
    <t>2016 (факт)</t>
  </si>
  <si>
    <t>Приложение 10</t>
  </si>
  <si>
    <t>2017(факт)</t>
  </si>
  <si>
    <t>2018 (факт)</t>
  </si>
  <si>
    <t>2018 факт</t>
  </si>
  <si>
    <t xml:space="preserve">    Брянской области"" (2016-2024 годы) </t>
  </si>
  <si>
    <t>Сведения о показателях (индикаторах) муниципальной программы "Развитие топливно-энергетического комплекса, жилищно-коммунального и дорожного хозяйства городского округа "город Клинцы Брянской области"" (2016-2022 годы), подпрограммы "Энергосбережение и повышение энергетической эффективности на территории городского округа "город Клинцы Брянской области"" (2016-2024 годы).</t>
  </si>
  <si>
    <t>к муниципальной программе "Развитие топливно-энергетического комплекса,</t>
  </si>
  <si>
    <t>территории городского округа "город Клинцы Брянской области"" (2016-2024 годы)</t>
  </si>
  <si>
    <t>2021(план)</t>
  </si>
  <si>
    <t>2022(план)</t>
  </si>
  <si>
    <t>2023(план)</t>
  </si>
  <si>
    <t>2024(план)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</si>
</sst>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2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wrapText="1"/>
    </xf>
    <xf numFmtId="0" fontId="0" fillId="0" borderId="0" xfId="0" applyFill="1"/>
    <xf numFmtId="0" fontId="2" fillId="0" borderId="0" xfId="0" applyFont="1" applyFill="1" applyAlignment="1">
      <alignment horizontal="right"/>
    </xf>
    <xf numFmtId="0" fontId="12" fillId="0" borderId="1" xfId="0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1" fontId="11" fillId="0" borderId="7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8" fillId="0" borderId="0" xfId="0" applyFont="1" applyFill="1"/>
    <xf numFmtId="165" fontId="11" fillId="0" borderId="1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1" xfId="0" applyBorder="1"/>
    <xf numFmtId="0" fontId="15" fillId="0" borderId="1" xfId="0" applyFont="1" applyBorder="1" applyAlignment="1">
      <alignment horizontal="center"/>
    </xf>
    <xf numFmtId="0" fontId="2" fillId="0" borderId="0" xfId="0" applyFont="1" applyAlignment="1"/>
    <xf numFmtId="0" fontId="12" fillId="0" borderId="7" xfId="0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164" fontId="11" fillId="0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opLeftCell="A37" zoomScale="130" zoomScaleNormal="130" workbookViewId="0">
      <selection activeCell="B59" sqref="B59"/>
    </sheetView>
  </sheetViews>
  <sheetFormatPr defaultRowHeight="15" x14ac:dyDescent="0.25"/>
  <cols>
    <col min="1" max="1" width="3" bestFit="1" customWidth="1"/>
    <col min="2" max="2" width="42.28515625" customWidth="1"/>
    <col min="4" max="5" width="9.140625" hidden="1" customWidth="1"/>
    <col min="6" max="7" width="9.140625" style="36" hidden="1" customWidth="1"/>
    <col min="8" max="9" width="9.140625" style="36" customWidth="1"/>
    <col min="11" max="11" width="0" hidden="1" customWidth="1"/>
    <col min="15" max="15" width="9.140625" customWidth="1"/>
  </cols>
  <sheetData>
    <row r="1" spans="1:26" ht="16.5" customHeight="1" x14ac:dyDescent="0.25">
      <c r="A1" s="76"/>
      <c r="B1" s="76"/>
      <c r="C1" s="76"/>
      <c r="E1" s="70"/>
      <c r="F1" s="70"/>
      <c r="G1" s="70"/>
      <c r="H1" s="70"/>
      <c r="I1" s="70"/>
      <c r="J1" s="70"/>
      <c r="K1" s="70"/>
      <c r="L1" s="70"/>
      <c r="M1" s="70"/>
      <c r="Q1" s="74" t="s">
        <v>178</v>
      </c>
      <c r="R1" s="74"/>
      <c r="S1" s="70"/>
      <c r="T1" s="70"/>
      <c r="U1" s="70"/>
      <c r="V1" s="70"/>
      <c r="W1" s="70"/>
      <c r="X1" s="70"/>
      <c r="Y1" s="70"/>
      <c r="Z1" s="70"/>
    </row>
    <row r="2" spans="1:26" ht="15.75" x14ac:dyDescent="0.25">
      <c r="A2" s="77"/>
      <c r="B2" s="77"/>
      <c r="C2" s="77"/>
      <c r="E2" s="70"/>
      <c r="F2" s="70"/>
      <c r="G2" s="70"/>
      <c r="H2" s="70"/>
      <c r="I2" s="70"/>
      <c r="J2" s="74" t="s">
        <v>179</v>
      </c>
      <c r="K2" s="74"/>
      <c r="L2" s="74"/>
      <c r="M2" s="74"/>
      <c r="N2" s="74"/>
      <c r="O2" s="74"/>
      <c r="P2" s="74"/>
      <c r="Q2" s="74"/>
      <c r="R2" s="74"/>
      <c r="S2" s="70"/>
      <c r="T2" s="70"/>
      <c r="U2" s="70"/>
      <c r="V2" s="70"/>
    </row>
    <row r="3" spans="1:26" ht="15.75" x14ac:dyDescent="0.25">
      <c r="A3" s="1"/>
      <c r="B3" s="1"/>
      <c r="C3" s="1"/>
      <c r="E3" s="70"/>
      <c r="F3" s="70"/>
      <c r="G3" s="70"/>
      <c r="H3" s="70"/>
      <c r="I3" s="70"/>
      <c r="J3" s="74" t="s">
        <v>192</v>
      </c>
      <c r="K3" s="74"/>
      <c r="L3" s="74"/>
      <c r="M3" s="74"/>
      <c r="N3" s="74"/>
      <c r="O3" s="74"/>
      <c r="P3" s="74"/>
      <c r="Q3" s="74"/>
      <c r="R3" s="74"/>
      <c r="S3" s="70"/>
      <c r="T3" s="70"/>
      <c r="U3" s="70"/>
      <c r="V3" s="70"/>
    </row>
    <row r="4" spans="1:26" ht="10.5" customHeight="1" x14ac:dyDescent="0.25">
      <c r="A4" s="1"/>
      <c r="B4" s="1"/>
      <c r="C4" s="1"/>
      <c r="E4" s="2"/>
      <c r="F4" s="37"/>
      <c r="G4" s="37"/>
      <c r="H4" s="37"/>
      <c r="I4" s="37"/>
      <c r="J4" s="2"/>
      <c r="K4" s="52"/>
      <c r="L4" s="2"/>
      <c r="M4" s="2"/>
    </row>
    <row r="5" spans="1:26" ht="15.75" x14ac:dyDescent="0.25">
      <c r="A5" s="75" t="s">
        <v>180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26" ht="7.5" customHeight="1" x14ac:dyDescent="0.25"/>
    <row r="7" spans="1:26" x14ac:dyDescent="0.25">
      <c r="A7" s="24" t="s">
        <v>138</v>
      </c>
      <c r="B7" s="25" t="s">
        <v>136</v>
      </c>
      <c r="C7" s="26" t="s">
        <v>137</v>
      </c>
      <c r="D7" s="26" t="s">
        <v>130</v>
      </c>
      <c r="E7" s="26" t="s">
        <v>131</v>
      </c>
      <c r="F7" s="38" t="s">
        <v>132</v>
      </c>
      <c r="G7" s="38" t="s">
        <v>182</v>
      </c>
      <c r="H7" s="38" t="s">
        <v>184</v>
      </c>
      <c r="I7" s="38" t="s">
        <v>186</v>
      </c>
      <c r="J7" s="38" t="s">
        <v>133</v>
      </c>
      <c r="K7" s="38" t="s">
        <v>187</v>
      </c>
      <c r="L7" s="26" t="s">
        <v>134</v>
      </c>
      <c r="M7" s="26" t="s">
        <v>135</v>
      </c>
      <c r="N7" s="26" t="s">
        <v>193</v>
      </c>
      <c r="O7" s="26" t="s">
        <v>194</v>
      </c>
      <c r="P7" s="26" t="s">
        <v>195</v>
      </c>
      <c r="Q7" s="26" t="s">
        <v>196</v>
      </c>
      <c r="R7" s="71"/>
    </row>
    <row r="8" spans="1:26" x14ac:dyDescent="0.25">
      <c r="A8" s="27">
        <v>1</v>
      </c>
      <c r="B8" s="28" t="s">
        <v>70</v>
      </c>
      <c r="C8" s="29" t="s">
        <v>83</v>
      </c>
      <c r="D8" s="30">
        <v>106605</v>
      </c>
      <c r="E8" s="30">
        <v>107960</v>
      </c>
      <c r="F8" s="34">
        <v>105327</v>
      </c>
      <c r="G8" s="39">
        <v>108195</v>
      </c>
      <c r="H8" s="39">
        <v>107739.9</v>
      </c>
      <c r="I8" s="39">
        <v>104747.5</v>
      </c>
      <c r="J8" s="39">
        <f>I8*0.99</f>
        <v>103700.02499999999</v>
      </c>
      <c r="K8" s="60">
        <v>106350.94</v>
      </c>
      <c r="L8" s="31">
        <f>K8*0.99</f>
        <v>105287.43060000001</v>
      </c>
      <c r="M8" s="31">
        <f>L8*0.99</f>
        <v>104234.55629400001</v>
      </c>
      <c r="N8" s="31">
        <f t="shared" ref="N8:Q11" si="0">M8*0.99</f>
        <v>103192.21073106001</v>
      </c>
      <c r="O8" s="31">
        <f t="shared" si="0"/>
        <v>102160.28862374941</v>
      </c>
      <c r="P8" s="31">
        <f>O8*0.99</f>
        <v>101138.68573751191</v>
      </c>
      <c r="Q8" s="31">
        <f t="shared" si="0"/>
        <v>100127.29888013679</v>
      </c>
      <c r="R8" s="72"/>
    </row>
    <row r="9" spans="1:26" x14ac:dyDescent="0.25">
      <c r="A9" s="27">
        <v>2</v>
      </c>
      <c r="B9" s="28" t="s">
        <v>71</v>
      </c>
      <c r="C9" s="29" t="s">
        <v>84</v>
      </c>
      <c r="D9" s="30">
        <v>287</v>
      </c>
      <c r="E9" s="30">
        <v>265</v>
      </c>
      <c r="F9" s="34">
        <v>276</v>
      </c>
      <c r="G9" s="39">
        <v>272</v>
      </c>
      <c r="H9" s="39">
        <v>268.2</v>
      </c>
      <c r="I9" s="39">
        <v>251.87</v>
      </c>
      <c r="J9" s="39">
        <f t="shared" ref="J9:M10" si="1">I9*0.99</f>
        <v>249.35130000000001</v>
      </c>
      <c r="K9" s="60">
        <v>224.15</v>
      </c>
      <c r="L9" s="39">
        <f>K9*0.99</f>
        <v>221.9085</v>
      </c>
      <c r="M9" s="39">
        <f t="shared" si="1"/>
        <v>219.689415</v>
      </c>
      <c r="N9" s="39">
        <f t="shared" si="0"/>
        <v>217.49252085000001</v>
      </c>
      <c r="O9" s="39">
        <f t="shared" si="0"/>
        <v>215.31759564149999</v>
      </c>
      <c r="P9" s="39">
        <f>O9*0.99</f>
        <v>213.16441968508499</v>
      </c>
      <c r="Q9" s="39">
        <f t="shared" si="0"/>
        <v>211.03277548823414</v>
      </c>
      <c r="R9" s="41"/>
    </row>
    <row r="10" spans="1:26" x14ac:dyDescent="0.25">
      <c r="A10" s="27">
        <v>3</v>
      </c>
      <c r="B10" s="28" t="s">
        <v>77</v>
      </c>
      <c r="C10" s="29" t="s">
        <v>85</v>
      </c>
      <c r="D10" s="30">
        <v>3746</v>
      </c>
      <c r="E10" s="30">
        <v>3380</v>
      </c>
      <c r="F10" s="34">
        <v>3258</v>
      </c>
      <c r="G10" s="39">
        <v>3126</v>
      </c>
      <c r="H10" s="39">
        <v>2990.4</v>
      </c>
      <c r="I10" s="39">
        <v>3246.69</v>
      </c>
      <c r="J10" s="39">
        <f t="shared" si="1"/>
        <v>3214.2231000000002</v>
      </c>
      <c r="K10" s="60">
        <v>3126.6</v>
      </c>
      <c r="L10" s="39">
        <f>K10*0.99</f>
        <v>3095.3339999999998</v>
      </c>
      <c r="M10" s="39">
        <f t="shared" si="1"/>
        <v>3064.3806599999998</v>
      </c>
      <c r="N10" s="39">
        <f t="shared" si="0"/>
        <v>3033.7368533999997</v>
      </c>
      <c r="O10" s="39">
        <f t="shared" si="0"/>
        <v>3003.3994848659995</v>
      </c>
      <c r="P10" s="39">
        <f>O10*0.99</f>
        <v>2973.3654900173397</v>
      </c>
      <c r="Q10" s="39">
        <f t="shared" si="0"/>
        <v>2943.6318351171662</v>
      </c>
      <c r="R10" s="41"/>
    </row>
    <row r="11" spans="1:26" x14ac:dyDescent="0.25">
      <c r="A11" s="27">
        <v>4</v>
      </c>
      <c r="B11" s="28" t="s">
        <v>76</v>
      </c>
      <c r="C11" s="29" t="s">
        <v>86</v>
      </c>
      <c r="D11" s="30">
        <v>523</v>
      </c>
      <c r="E11" s="30">
        <v>496</v>
      </c>
      <c r="F11" s="34">
        <v>451</v>
      </c>
      <c r="G11" s="39">
        <v>302</v>
      </c>
      <c r="H11" s="39">
        <v>302.72000000000003</v>
      </c>
      <c r="I11" s="39">
        <v>287.3</v>
      </c>
      <c r="J11" s="39">
        <f t="shared" ref="J11:M11" si="2">I11*0.99</f>
        <v>284.42700000000002</v>
      </c>
      <c r="K11" s="60">
        <v>302.3</v>
      </c>
      <c r="L11" s="39">
        <f>K11*0.99</f>
        <v>299.27699999999999</v>
      </c>
      <c r="M11" s="39">
        <f t="shared" si="2"/>
        <v>296.28422999999998</v>
      </c>
      <c r="N11" s="39">
        <f t="shared" si="0"/>
        <v>293.3213877</v>
      </c>
      <c r="O11" s="39">
        <f t="shared" si="0"/>
        <v>290.38817382299999</v>
      </c>
      <c r="P11" s="39">
        <f>O11*0.99</f>
        <v>287.48429208477</v>
      </c>
      <c r="Q11" s="39">
        <f t="shared" si="0"/>
        <v>284.60944916392231</v>
      </c>
      <c r="R11" s="41"/>
    </row>
    <row r="12" spans="1:26" x14ac:dyDescent="0.25">
      <c r="A12" s="27">
        <v>5</v>
      </c>
      <c r="B12" s="28" t="s">
        <v>72</v>
      </c>
      <c r="C12" s="29" t="s">
        <v>86</v>
      </c>
      <c r="D12" s="30">
        <v>106453</v>
      </c>
      <c r="E12" s="30">
        <v>102192</v>
      </c>
      <c r="F12" s="34">
        <v>103678</v>
      </c>
      <c r="G12" s="39">
        <v>102288</v>
      </c>
      <c r="H12" s="39">
        <v>72411.8</v>
      </c>
      <c r="I12" s="39">
        <v>89295.07</v>
      </c>
      <c r="J12" s="39">
        <f>I12*0.99</f>
        <v>88402.119300000006</v>
      </c>
      <c r="K12" s="60">
        <v>97254.21</v>
      </c>
      <c r="L12" s="39">
        <f>K12*0.99</f>
        <v>96281.6679</v>
      </c>
      <c r="M12" s="39">
        <f>L12*0.99</f>
        <v>95318.851221000004</v>
      </c>
      <c r="N12" s="39">
        <f t="shared" ref="N12:Q12" si="3">M12*0.99</f>
        <v>94365.662708789998</v>
      </c>
      <c r="O12" s="39">
        <f t="shared" si="3"/>
        <v>93422.0060817021</v>
      </c>
      <c r="P12" s="39">
        <f>O12*0.99</f>
        <v>92487.786020885076</v>
      </c>
      <c r="Q12" s="39">
        <f t="shared" si="3"/>
        <v>91562.908160676219</v>
      </c>
      <c r="R12" s="41"/>
    </row>
    <row r="13" spans="1:26" ht="22.5" x14ac:dyDescent="0.25">
      <c r="A13" s="27">
        <v>6</v>
      </c>
      <c r="B13" s="28" t="s">
        <v>73</v>
      </c>
      <c r="C13" s="29" t="s">
        <v>83</v>
      </c>
      <c r="D13" s="30">
        <v>106605</v>
      </c>
      <c r="E13" s="30">
        <v>107960</v>
      </c>
      <c r="F13" s="34">
        <v>105327</v>
      </c>
      <c r="G13" s="39">
        <f t="shared" ref="G13:M13" si="4">G8</f>
        <v>108195</v>
      </c>
      <c r="H13" s="39">
        <f>H8</f>
        <v>107739.9</v>
      </c>
      <c r="I13" s="39">
        <v>104747.5</v>
      </c>
      <c r="J13" s="39">
        <f t="shared" si="4"/>
        <v>103700.02499999999</v>
      </c>
      <c r="K13" s="60">
        <v>106350.94</v>
      </c>
      <c r="L13" s="39">
        <f t="shared" si="4"/>
        <v>105287.43060000001</v>
      </c>
      <c r="M13" s="39">
        <f t="shared" si="4"/>
        <v>104234.55629400001</v>
      </c>
      <c r="N13" s="39">
        <f t="shared" ref="N13:Q13" si="5">N8</f>
        <v>103192.21073106001</v>
      </c>
      <c r="O13" s="39">
        <f t="shared" si="5"/>
        <v>102160.28862374941</v>
      </c>
      <c r="P13" s="39">
        <f t="shared" si="5"/>
        <v>101138.68573751191</v>
      </c>
      <c r="Q13" s="39">
        <f t="shared" si="5"/>
        <v>100127.29888013679</v>
      </c>
      <c r="R13" s="41"/>
    </row>
    <row r="14" spans="1:26" ht="22.5" x14ac:dyDescent="0.25">
      <c r="A14" s="27">
        <v>7</v>
      </c>
      <c r="B14" s="28" t="s">
        <v>74</v>
      </c>
      <c r="C14" s="29" t="s">
        <v>84</v>
      </c>
      <c r="D14" s="30">
        <v>187</v>
      </c>
      <c r="E14" s="30">
        <v>145</v>
      </c>
      <c r="F14" s="34">
        <v>196</v>
      </c>
      <c r="G14" s="39">
        <v>184</v>
      </c>
      <c r="H14" s="39">
        <v>152.9</v>
      </c>
      <c r="I14" s="39">
        <v>145.66</v>
      </c>
      <c r="J14" s="39">
        <f>J9*0.59</f>
        <v>147.117267</v>
      </c>
      <c r="K14" s="60">
        <v>156.83000000000001</v>
      </c>
      <c r="L14" s="39">
        <f>L9*0.71</f>
        <v>157.555035</v>
      </c>
      <c r="M14" s="39">
        <f>M9*0.72</f>
        <v>158.17637879999998</v>
      </c>
      <c r="N14" s="39">
        <f>N9*0.73</f>
        <v>158.76954022050001</v>
      </c>
      <c r="O14" s="39">
        <f t="shared" ref="O14" si="6">O9*0.72</f>
        <v>155.02866886187999</v>
      </c>
      <c r="P14" s="39">
        <f>P9*0.74</f>
        <v>157.74167056696288</v>
      </c>
      <c r="Q14" s="39">
        <f>Q9*0.75</f>
        <v>158.2745816161756</v>
      </c>
      <c r="R14" s="41"/>
    </row>
    <row r="15" spans="1:26" ht="33.75" x14ac:dyDescent="0.25">
      <c r="A15" s="27">
        <v>8</v>
      </c>
      <c r="B15" s="32" t="s">
        <v>78</v>
      </c>
      <c r="C15" s="29" t="s">
        <v>85</v>
      </c>
      <c r="D15" s="30">
        <v>1791</v>
      </c>
      <c r="E15" s="30">
        <v>1467</v>
      </c>
      <c r="F15" s="34">
        <v>1667</v>
      </c>
      <c r="G15" s="39">
        <v>1809</v>
      </c>
      <c r="H15" s="39">
        <v>1825.8</v>
      </c>
      <c r="I15" s="39">
        <v>1873.4</v>
      </c>
      <c r="J15" s="39">
        <f>J10*0.59</f>
        <v>1896.391629</v>
      </c>
      <c r="K15" s="60">
        <v>1960.5</v>
      </c>
      <c r="L15" s="39">
        <f>L10*0.64</f>
        <v>1981.01376</v>
      </c>
      <c r="M15" s="39">
        <f>M10*0.65</f>
        <v>1991.8474289999999</v>
      </c>
      <c r="N15" s="39">
        <f>N10*0.66</f>
        <v>2002.266323244</v>
      </c>
      <c r="O15" s="39">
        <f t="shared" ref="O15" si="7">O10*0.65</f>
        <v>1952.2096651628997</v>
      </c>
      <c r="P15" s="39">
        <f>P10*0.67</f>
        <v>1992.1548783116177</v>
      </c>
      <c r="Q15" s="39">
        <f>Q10*0.68</f>
        <v>2001.6696478796732</v>
      </c>
      <c r="R15" s="41"/>
    </row>
    <row r="16" spans="1:26" ht="33.75" x14ac:dyDescent="0.25">
      <c r="A16" s="27">
        <v>9</v>
      </c>
      <c r="B16" s="32" t="s">
        <v>79</v>
      </c>
      <c r="C16" s="29" t="s">
        <v>86</v>
      </c>
      <c r="D16" s="30">
        <v>66</v>
      </c>
      <c r="E16" s="30">
        <v>243</v>
      </c>
      <c r="F16" s="34">
        <v>318</v>
      </c>
      <c r="G16" s="39">
        <v>227</v>
      </c>
      <c r="H16" s="39">
        <v>235.14</v>
      </c>
      <c r="I16" s="39">
        <v>244.9</v>
      </c>
      <c r="J16" s="39">
        <f>J11*0.83</f>
        <v>236.07441</v>
      </c>
      <c r="K16" s="60">
        <v>261.92</v>
      </c>
      <c r="L16" s="39">
        <f>L11*0.88</f>
        <v>263.36376000000001</v>
      </c>
      <c r="M16" s="39">
        <f>M11*0.89</f>
        <v>263.6929647</v>
      </c>
      <c r="N16" s="39">
        <f>N11*0.9</f>
        <v>263.98924893000003</v>
      </c>
      <c r="O16" s="39">
        <f t="shared" ref="O16" si="8">O11*0.89</f>
        <v>258.44547470246999</v>
      </c>
      <c r="P16" s="39">
        <f>P11*0.91</f>
        <v>261.61070579714072</v>
      </c>
      <c r="Q16" s="39">
        <f>Q11*0.92</f>
        <v>261.84069323080854</v>
      </c>
      <c r="R16" s="41"/>
    </row>
    <row r="17" spans="1:18" ht="33.75" x14ac:dyDescent="0.25">
      <c r="A17" s="27">
        <v>10</v>
      </c>
      <c r="B17" s="28" t="s">
        <v>75</v>
      </c>
      <c r="C17" s="29" t="s">
        <v>86</v>
      </c>
      <c r="D17" s="30">
        <v>84664</v>
      </c>
      <c r="E17" s="30">
        <v>81805</v>
      </c>
      <c r="F17" s="34">
        <v>85959</v>
      </c>
      <c r="G17" s="39">
        <v>78106</v>
      </c>
      <c r="H17" s="39">
        <v>60398.1</v>
      </c>
      <c r="I17" s="39">
        <v>78457.539999999994</v>
      </c>
      <c r="J17" s="39">
        <v>78416</v>
      </c>
      <c r="K17" s="60">
        <v>87986.04</v>
      </c>
      <c r="L17" s="39">
        <f>L12*0.91</f>
        <v>87616.317789000008</v>
      </c>
      <c r="M17" s="39">
        <f>M12*0.92</f>
        <v>87693.34312332001</v>
      </c>
      <c r="N17" s="39">
        <f>N12*0.93</f>
        <v>87760.066319174701</v>
      </c>
      <c r="O17" s="39">
        <f t="shared" ref="O17" si="9">O12*0.92</f>
        <v>85948.245595165936</v>
      </c>
      <c r="P17" s="39">
        <f>P12*0.94</f>
        <v>86938.518859631964</v>
      </c>
      <c r="Q17" s="39">
        <f>Q12*0.95</f>
        <v>86984.762752642404</v>
      </c>
      <c r="R17" s="41"/>
    </row>
    <row r="18" spans="1:18" ht="33.75" x14ac:dyDescent="0.25">
      <c r="A18" s="27">
        <v>11</v>
      </c>
      <c r="B18" s="32" t="s">
        <v>80</v>
      </c>
      <c r="C18" s="33" t="s">
        <v>81</v>
      </c>
      <c r="D18" s="30">
        <v>0</v>
      </c>
      <c r="E18" s="30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61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50"/>
    </row>
    <row r="19" spans="1:18" ht="22.5" x14ac:dyDescent="0.25">
      <c r="A19" s="27">
        <v>12</v>
      </c>
      <c r="B19" s="32" t="s">
        <v>82</v>
      </c>
      <c r="C19" s="33" t="s">
        <v>81</v>
      </c>
      <c r="D19" s="30">
        <v>47495</v>
      </c>
      <c r="E19" s="30">
        <v>45764</v>
      </c>
      <c r="F19" s="34">
        <v>45337</v>
      </c>
      <c r="G19" s="39">
        <v>43132</v>
      </c>
      <c r="H19" s="39">
        <v>40846</v>
      </c>
      <c r="I19" s="39">
        <v>39878.230000000003</v>
      </c>
      <c r="J19" s="39">
        <f t="shared" ref="J19:M19" si="10">I19*0.991</f>
        <v>39519.325930000006</v>
      </c>
      <c r="K19" s="60">
        <v>43844.23</v>
      </c>
      <c r="L19" s="39">
        <f>K19*0.991</f>
        <v>43449.631930000003</v>
      </c>
      <c r="M19" s="39">
        <f t="shared" si="10"/>
        <v>43058.585242630004</v>
      </c>
      <c r="N19" s="39">
        <f t="shared" ref="N19" si="11">M19*0.991</f>
        <v>42671.057975446332</v>
      </c>
      <c r="O19" s="39">
        <f t="shared" ref="O19" si="12">N19*0.991</f>
        <v>42287.018453667319</v>
      </c>
      <c r="P19" s="39">
        <f>O19*0.991</f>
        <v>41906.435287584311</v>
      </c>
      <c r="Q19" s="39">
        <f t="shared" ref="Q19" si="13">P19*0.991</f>
        <v>41529.277369996053</v>
      </c>
      <c r="R19" s="41"/>
    </row>
    <row r="20" spans="1:18" ht="33.75" x14ac:dyDescent="0.25">
      <c r="A20" s="27">
        <v>13</v>
      </c>
      <c r="B20" s="28" t="s">
        <v>92</v>
      </c>
      <c r="C20" s="29" t="s">
        <v>87</v>
      </c>
      <c r="D20" s="30">
        <f>1609423+152072</f>
        <v>1761495</v>
      </c>
      <c r="E20" s="30">
        <f>1608317+158570</f>
        <v>1766887</v>
      </c>
      <c r="F20" s="34">
        <f>1838303+165478</f>
        <v>2003781</v>
      </c>
      <c r="G20" s="39">
        <v>2835081</v>
      </c>
      <c r="H20" s="39">
        <f>2264765+153683</f>
        <v>2418448</v>
      </c>
      <c r="I20" s="39">
        <v>2347724</v>
      </c>
      <c r="J20" s="39">
        <f>I20*0.9957</f>
        <v>2337628.7867999999</v>
      </c>
      <c r="K20" s="60">
        <v>2497212.7000000002</v>
      </c>
      <c r="L20" s="39">
        <f>K20*0.992</f>
        <v>2477234.9984000004</v>
      </c>
      <c r="M20" s="39">
        <f>L20*0.994</f>
        <v>2462371.5884096003</v>
      </c>
      <c r="N20" s="39">
        <f t="shared" ref="N20:Q20" si="14">M20*0.994</f>
        <v>2447597.3588791429</v>
      </c>
      <c r="O20" s="39">
        <f t="shared" si="14"/>
        <v>2432911.7747258679</v>
      </c>
      <c r="P20" s="39">
        <f>O20*0.99</f>
        <v>2408582.656978609</v>
      </c>
      <c r="Q20" s="39">
        <f t="shared" si="14"/>
        <v>2394131.1610367373</v>
      </c>
      <c r="R20" s="41"/>
    </row>
    <row r="21" spans="1:18" ht="33.75" x14ac:dyDescent="0.25">
      <c r="A21" s="27">
        <v>14</v>
      </c>
      <c r="B21" s="28" t="s">
        <v>102</v>
      </c>
      <c r="C21" s="29" t="s">
        <v>103</v>
      </c>
      <c r="D21" s="30">
        <f>14882+3536+1111</f>
        <v>19529</v>
      </c>
      <c r="E21" s="30">
        <f>13897+1508+903</f>
        <v>16308</v>
      </c>
      <c r="F21" s="34">
        <f>16144+1255+910</f>
        <v>18309</v>
      </c>
      <c r="G21" s="39">
        <v>15534</v>
      </c>
      <c r="H21" s="39">
        <f>14500.319+532.077</f>
        <v>15032.395999999999</v>
      </c>
      <c r="I21" s="39">
        <v>17854.63</v>
      </c>
      <c r="J21" s="39">
        <f>I21*0.99</f>
        <v>17676.083699999999</v>
      </c>
      <c r="K21" s="60">
        <v>17952.419999999998</v>
      </c>
      <c r="L21" s="39">
        <v>17952</v>
      </c>
      <c r="M21" s="39">
        <f>L21*0.998</f>
        <v>17916.096000000001</v>
      </c>
      <c r="N21" s="39">
        <f>M21*0.994</f>
        <v>17808.599424</v>
      </c>
      <c r="O21" s="39">
        <f>N21*0.99</f>
        <v>17630.513429760002</v>
      </c>
      <c r="P21" s="39">
        <f>O21*0.995</f>
        <v>17542.3608626112</v>
      </c>
      <c r="Q21" s="39">
        <f t="shared" ref="Q21" si="15">P21*0.998</f>
        <v>17507.276140885977</v>
      </c>
      <c r="R21" s="41"/>
    </row>
    <row r="22" spans="1:18" ht="33.75" x14ac:dyDescent="0.25">
      <c r="A22" s="27">
        <v>15</v>
      </c>
      <c r="B22" s="28" t="s">
        <v>94</v>
      </c>
      <c r="C22" s="29" t="s">
        <v>90</v>
      </c>
      <c r="D22" s="30">
        <f>87015+1900+5515</f>
        <v>94430</v>
      </c>
      <c r="E22" s="30">
        <f>95695+305+4219</f>
        <v>100219</v>
      </c>
      <c r="F22" s="34">
        <f>66597+2685</f>
        <v>69282</v>
      </c>
      <c r="G22" s="39">
        <v>68443</v>
      </c>
      <c r="H22" s="39">
        <f>62494.485+2196</f>
        <v>64690.485000000001</v>
      </c>
      <c r="I22" s="39">
        <v>64276</v>
      </c>
      <c r="J22" s="39">
        <f t="shared" ref="J22" si="16">I22*0.99</f>
        <v>63633.24</v>
      </c>
      <c r="K22" s="60">
        <v>65456</v>
      </c>
      <c r="L22" s="39">
        <v>65456</v>
      </c>
      <c r="M22" s="39">
        <f>L22*0.999</f>
        <v>65390.544000000002</v>
      </c>
      <c r="N22" s="39">
        <f t="shared" ref="N22:O22" si="17">M22*0.999</f>
        <v>65325.153456</v>
      </c>
      <c r="O22" s="39">
        <f t="shared" si="17"/>
        <v>65259.828302544003</v>
      </c>
      <c r="P22" s="39">
        <f>O22*0.999</f>
        <v>65194.56847424146</v>
      </c>
      <c r="Q22" s="39">
        <f>P22*0.9</f>
        <v>58675.111626817314</v>
      </c>
      <c r="R22" s="41"/>
    </row>
    <row r="23" spans="1:18" ht="33.75" x14ac:dyDescent="0.25">
      <c r="A23" s="27">
        <v>16</v>
      </c>
      <c r="B23" s="28" t="s">
        <v>95</v>
      </c>
      <c r="C23" s="29" t="s">
        <v>90</v>
      </c>
      <c r="D23" s="30">
        <v>1033</v>
      </c>
      <c r="E23" s="30">
        <v>813</v>
      </c>
      <c r="F23" s="34">
        <v>889</v>
      </c>
      <c r="G23" s="39">
        <v>995</v>
      </c>
      <c r="H23" s="39">
        <v>2154.9859999999999</v>
      </c>
      <c r="I23" s="39">
        <v>2068.83</v>
      </c>
      <c r="J23" s="39">
        <f t="shared" ref="J23:M23" si="18">I23*0.998</f>
        <v>2064.6923400000001</v>
      </c>
      <c r="K23" s="60">
        <v>2320.62</v>
      </c>
      <c r="L23" s="39">
        <f>K23*0.915</f>
        <v>2123.3672999999999</v>
      </c>
      <c r="M23" s="39">
        <f t="shared" si="18"/>
        <v>2119.1205654</v>
      </c>
      <c r="N23" s="39">
        <f t="shared" ref="N23" si="19">M23*0.998</f>
        <v>2114.8823242692001</v>
      </c>
      <c r="O23" s="39">
        <f t="shared" ref="O23" si="20">N23*0.998</f>
        <v>2110.6525596206616</v>
      </c>
      <c r="P23" s="39">
        <f>O23*0.998</f>
        <v>2106.4312545014204</v>
      </c>
      <c r="Q23" s="39">
        <f>P23*0.9998</f>
        <v>2106.0099682505202</v>
      </c>
      <c r="R23" s="41"/>
    </row>
    <row r="24" spans="1:18" ht="33.75" x14ac:dyDescent="0.25">
      <c r="A24" s="27">
        <v>17</v>
      </c>
      <c r="B24" s="28" t="s">
        <v>139</v>
      </c>
      <c r="C24" s="29" t="s">
        <v>90</v>
      </c>
      <c r="D24" s="30">
        <f>(128.7+9)*1000</f>
        <v>137700</v>
      </c>
      <c r="E24" s="30">
        <f>(172+9)*1000</f>
        <v>181000</v>
      </c>
      <c r="F24" s="34">
        <f>(117+9)*1000</f>
        <v>126000</v>
      </c>
      <c r="G24" s="39">
        <v>103500</v>
      </c>
      <c r="H24" s="39">
        <f>(72.224+5.173)*1000</f>
        <v>77397</v>
      </c>
      <c r="I24" s="39">
        <v>76018</v>
      </c>
      <c r="J24" s="39">
        <f>I24*0.99</f>
        <v>75257.819999999992</v>
      </c>
      <c r="K24" s="60">
        <v>84644</v>
      </c>
      <c r="L24" s="39">
        <f>K24*0.915</f>
        <v>77449.260000000009</v>
      </c>
      <c r="M24" s="39">
        <f>L24*0.999</f>
        <v>77371.810740000015</v>
      </c>
      <c r="N24" s="39">
        <f t="shared" ref="N24:Q24" si="21">M24*0.999</f>
        <v>77294.43892926001</v>
      </c>
      <c r="O24" s="39">
        <f t="shared" si="21"/>
        <v>77217.144490330757</v>
      </c>
      <c r="P24" s="39">
        <f>O24*0.999</f>
        <v>77139.92734584042</v>
      </c>
      <c r="Q24" s="39">
        <f t="shared" si="21"/>
        <v>77062.787418494583</v>
      </c>
      <c r="R24" s="41"/>
    </row>
    <row r="25" spans="1:18" ht="22.5" x14ac:dyDescent="0.25">
      <c r="A25" s="27">
        <v>18</v>
      </c>
      <c r="B25" s="28" t="s">
        <v>89</v>
      </c>
      <c r="C25" s="29" t="s">
        <v>88</v>
      </c>
      <c r="D25" s="30">
        <f>88666+6424</f>
        <v>95090</v>
      </c>
      <c r="E25" s="30">
        <f>89095+6424</f>
        <v>95519</v>
      </c>
      <c r="F25" s="34">
        <f>93457+6424</f>
        <v>99881</v>
      </c>
      <c r="G25" s="34">
        <v>99803.199999999997</v>
      </c>
      <c r="H25" s="34">
        <f>95753.85+5679.8</f>
        <v>101433.65000000001</v>
      </c>
      <c r="I25" s="34">
        <v>101546.65</v>
      </c>
      <c r="J25" s="34">
        <v>101546.65</v>
      </c>
      <c r="K25" s="61">
        <v>107665.65</v>
      </c>
      <c r="L25" s="34">
        <v>107665.65</v>
      </c>
      <c r="M25" s="34">
        <v>107665.65</v>
      </c>
      <c r="N25" s="34">
        <v>107666.65</v>
      </c>
      <c r="O25" s="34">
        <v>107667.65</v>
      </c>
      <c r="P25" s="34">
        <v>107668.65</v>
      </c>
      <c r="Q25" s="34">
        <v>107669.65</v>
      </c>
      <c r="R25" s="50"/>
    </row>
    <row r="26" spans="1:18" ht="33.75" x14ac:dyDescent="0.25">
      <c r="A26" s="27">
        <v>19</v>
      </c>
      <c r="B26" s="28" t="s">
        <v>93</v>
      </c>
      <c r="C26" s="29" t="s">
        <v>91</v>
      </c>
      <c r="D26" s="30">
        <f>1900+137</f>
        <v>2037</v>
      </c>
      <c r="E26" s="30">
        <f>1734+141</f>
        <v>1875</v>
      </c>
      <c r="F26" s="34">
        <f>1600+142</f>
        <v>1742</v>
      </c>
      <c r="G26" s="34">
        <v>1791</v>
      </c>
      <c r="H26" s="34">
        <f>1593+141</f>
        <v>1734</v>
      </c>
      <c r="I26" s="34">
        <v>1659</v>
      </c>
      <c r="J26" s="34">
        <f t="shared" ref="J26:M26" si="22">I26</f>
        <v>1659</v>
      </c>
      <c r="K26" s="61">
        <v>1682</v>
      </c>
      <c r="L26" s="34">
        <v>1708</v>
      </c>
      <c r="M26" s="34">
        <f t="shared" si="22"/>
        <v>1708</v>
      </c>
      <c r="N26" s="34">
        <f t="shared" ref="N26" si="23">M26</f>
        <v>1708</v>
      </c>
      <c r="O26" s="34">
        <f t="shared" ref="O26" si="24">N26</f>
        <v>1708</v>
      </c>
      <c r="P26" s="34">
        <f>O26</f>
        <v>1708</v>
      </c>
      <c r="Q26" s="34">
        <f t="shared" ref="Q26" si="25">P26</f>
        <v>1708</v>
      </c>
      <c r="R26" s="50"/>
    </row>
    <row r="27" spans="1:18" ht="56.25" x14ac:dyDescent="0.25">
      <c r="A27" s="27">
        <v>20</v>
      </c>
      <c r="B27" s="28" t="s">
        <v>96</v>
      </c>
      <c r="C27" s="29" t="s">
        <v>97</v>
      </c>
      <c r="D27" s="30">
        <v>42505</v>
      </c>
      <c r="E27" s="30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61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50"/>
    </row>
    <row r="28" spans="1:18" ht="56.25" x14ac:dyDescent="0.25">
      <c r="A28" s="27">
        <v>21</v>
      </c>
      <c r="B28" s="28" t="s">
        <v>98</v>
      </c>
      <c r="C28" s="29" t="s">
        <v>97</v>
      </c>
      <c r="D28" s="30">
        <v>2499</v>
      </c>
      <c r="E28" s="30">
        <v>9411.7999999999993</v>
      </c>
      <c r="F28" s="34">
        <v>11612.8</v>
      </c>
      <c r="G28" s="34">
        <v>8871.3060999999998</v>
      </c>
      <c r="H28" s="49">
        <v>9603.7436799999996</v>
      </c>
      <c r="I28" s="49">
        <v>7852.7115999999996</v>
      </c>
      <c r="J28" s="49">
        <v>604.36767999999995</v>
      </c>
      <c r="K28" s="62">
        <v>604.36767999999995</v>
      </c>
      <c r="L28" s="34">
        <v>57931.82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50"/>
    </row>
    <row r="29" spans="1:18" ht="22.5" x14ac:dyDescent="0.25">
      <c r="A29" s="27">
        <v>22</v>
      </c>
      <c r="B29" s="28" t="s">
        <v>104</v>
      </c>
      <c r="C29" s="29" t="s">
        <v>103</v>
      </c>
      <c r="D29" s="30">
        <v>118520</v>
      </c>
      <c r="E29" s="30">
        <v>91747</v>
      </c>
      <c r="F29" s="34">
        <v>79684</v>
      </c>
      <c r="G29" s="39">
        <v>109097</v>
      </c>
      <c r="H29" s="39">
        <v>106406</v>
      </c>
      <c r="I29" s="39">
        <v>112055.74</v>
      </c>
      <c r="J29" s="39">
        <f t="shared" ref="J29:M30" si="26">I29*0.99</f>
        <v>110935.1826</v>
      </c>
      <c r="K29" s="60">
        <v>121844.18</v>
      </c>
      <c r="L29" s="39">
        <f>K29*0.96</f>
        <v>116970.41279999999</v>
      </c>
      <c r="M29" s="39">
        <f t="shared" si="26"/>
        <v>115800.70867199999</v>
      </c>
      <c r="N29" s="39">
        <f t="shared" ref="N29:N32" si="27">M29*0.99</f>
        <v>114642.70158528</v>
      </c>
      <c r="O29" s="39">
        <f t="shared" ref="O29:O32" si="28">N29*0.99</f>
        <v>113496.2745694272</v>
      </c>
      <c r="P29" s="39">
        <f>O29*0.99</f>
        <v>112361.31182373293</v>
      </c>
      <c r="Q29" s="39">
        <f t="shared" ref="Q29:Q32" si="29">P29*0.99</f>
        <v>111237.6987054956</v>
      </c>
      <c r="R29" s="41"/>
    </row>
    <row r="30" spans="1:18" ht="22.5" x14ac:dyDescent="0.25">
      <c r="A30" s="27">
        <v>23</v>
      </c>
      <c r="B30" s="28" t="s">
        <v>183</v>
      </c>
      <c r="C30" s="29" t="s">
        <v>90</v>
      </c>
      <c r="D30" s="30">
        <v>1892611</v>
      </c>
      <c r="E30" s="30">
        <v>2120375</v>
      </c>
      <c r="F30" s="34">
        <v>1387342</v>
      </c>
      <c r="G30" s="39">
        <v>1251824</v>
      </c>
      <c r="H30" s="39">
        <v>1456561</v>
      </c>
      <c r="I30" s="39">
        <v>1651814</v>
      </c>
      <c r="J30" s="39">
        <f>I30*0.99</f>
        <v>1635295.8599999999</v>
      </c>
      <c r="K30" s="60">
        <v>1494893</v>
      </c>
      <c r="L30" s="39">
        <v>1494893</v>
      </c>
      <c r="M30" s="39">
        <f t="shared" si="26"/>
        <v>1479944.07</v>
      </c>
      <c r="N30" s="39">
        <f t="shared" si="27"/>
        <v>1465144.6293000001</v>
      </c>
      <c r="O30" s="39">
        <f t="shared" si="28"/>
        <v>1450493.1830070002</v>
      </c>
      <c r="P30" s="39">
        <f>O30*0.99</f>
        <v>1435988.2511769303</v>
      </c>
      <c r="Q30" s="39">
        <f t="shared" si="29"/>
        <v>1421628.3686651608</v>
      </c>
      <c r="R30" s="41"/>
    </row>
    <row r="31" spans="1:18" ht="22.5" x14ac:dyDescent="0.25">
      <c r="A31" s="27">
        <v>24</v>
      </c>
      <c r="B31" s="28" t="s">
        <v>181</v>
      </c>
      <c r="C31" s="29" t="s">
        <v>90</v>
      </c>
      <c r="D31" s="30">
        <v>325800</v>
      </c>
      <c r="E31" s="30">
        <v>306100</v>
      </c>
      <c r="F31" s="34">
        <v>280100</v>
      </c>
      <c r="G31" s="39">
        <v>229238</v>
      </c>
      <c r="H31" s="39">
        <v>302720</v>
      </c>
      <c r="I31" s="39">
        <v>240908</v>
      </c>
      <c r="J31" s="39">
        <f t="shared" ref="J31:M32" si="30">I31*0.99</f>
        <v>238498.91999999998</v>
      </c>
      <c r="K31" s="60">
        <v>236765</v>
      </c>
      <c r="L31" s="39">
        <v>236765</v>
      </c>
      <c r="M31" s="39">
        <f t="shared" si="30"/>
        <v>234397.35</v>
      </c>
      <c r="N31" s="39">
        <f t="shared" si="27"/>
        <v>232053.37650000001</v>
      </c>
      <c r="O31" s="39">
        <f t="shared" si="28"/>
        <v>229732.84273500001</v>
      </c>
      <c r="P31" s="39">
        <f>O31*0.99</f>
        <v>227435.51430765001</v>
      </c>
      <c r="Q31" s="39">
        <f t="shared" si="29"/>
        <v>225161.1591645735</v>
      </c>
      <c r="R31" s="41"/>
    </row>
    <row r="32" spans="1:18" ht="22.5" x14ac:dyDescent="0.25">
      <c r="A32" s="27">
        <v>25</v>
      </c>
      <c r="B32" s="28" t="s">
        <v>99</v>
      </c>
      <c r="C32" s="29" t="s">
        <v>87</v>
      </c>
      <c r="D32" s="30">
        <v>17615300</v>
      </c>
      <c r="E32" s="30">
        <v>17753100</v>
      </c>
      <c r="F32" s="34">
        <v>19376700</v>
      </c>
      <c r="G32" s="39">
        <v>16858486</v>
      </c>
      <c r="H32" s="34">
        <v>16917600</v>
      </c>
      <c r="I32" s="39">
        <v>16053900</v>
      </c>
      <c r="J32" s="39">
        <f>I32*0.99</f>
        <v>15893361</v>
      </c>
      <c r="K32" s="60">
        <v>14814000</v>
      </c>
      <c r="L32" s="39">
        <v>14814000</v>
      </c>
      <c r="M32" s="39">
        <f t="shared" si="30"/>
        <v>14665860</v>
      </c>
      <c r="N32" s="39">
        <f t="shared" si="27"/>
        <v>14519201.4</v>
      </c>
      <c r="O32" s="39">
        <f t="shared" si="28"/>
        <v>14374009.386</v>
      </c>
      <c r="P32" s="39">
        <f>O32*0.99</f>
        <v>14230269.29214</v>
      </c>
      <c r="Q32" s="39">
        <f t="shared" si="29"/>
        <v>14087966.599218599</v>
      </c>
      <c r="R32" s="41"/>
    </row>
    <row r="33" spans="1:20" x14ac:dyDescent="0.25">
      <c r="A33" s="27">
        <v>26</v>
      </c>
      <c r="B33" s="28" t="s">
        <v>100</v>
      </c>
      <c r="C33" s="29" t="s">
        <v>88</v>
      </c>
      <c r="D33" s="34">
        <v>941600</v>
      </c>
      <c r="E33" s="30">
        <v>960000</v>
      </c>
      <c r="F33" s="34">
        <v>986300</v>
      </c>
      <c r="G33" s="34">
        <v>1004300</v>
      </c>
      <c r="H33" s="39">
        <v>986359.93</v>
      </c>
      <c r="I33" s="39">
        <v>996504</v>
      </c>
      <c r="J33" s="34">
        <v>1005505</v>
      </c>
      <c r="K33" s="65">
        <v>1057300</v>
      </c>
      <c r="L33" s="34">
        <f>K33+9000</f>
        <v>1066300</v>
      </c>
      <c r="M33" s="34">
        <f t="shared" ref="M33" si="31">L33+9000</f>
        <v>1075300</v>
      </c>
      <c r="N33" s="34">
        <f t="shared" ref="N33" si="32">M33+9000</f>
        <v>1084300</v>
      </c>
      <c r="O33" s="34">
        <f t="shared" ref="O33" si="33">N33+9000</f>
        <v>1093300</v>
      </c>
      <c r="P33" s="34">
        <f>O33+9000</f>
        <v>1102300</v>
      </c>
      <c r="Q33" s="34">
        <f t="shared" ref="Q33" si="34">P33+9000</f>
        <v>1111300</v>
      </c>
      <c r="R33" s="50"/>
    </row>
    <row r="34" spans="1:20" ht="22.5" x14ac:dyDescent="0.25">
      <c r="A34" s="27">
        <v>27</v>
      </c>
      <c r="B34" s="28" t="s">
        <v>101</v>
      </c>
      <c r="C34" s="29" t="s">
        <v>91</v>
      </c>
      <c r="D34" s="30">
        <v>34440</v>
      </c>
      <c r="E34" s="30">
        <v>34783</v>
      </c>
      <c r="F34" s="34">
        <v>35023</v>
      </c>
      <c r="G34" s="34">
        <v>35263</v>
      </c>
      <c r="H34" s="34">
        <v>36088</v>
      </c>
      <c r="I34" s="34">
        <v>36261</v>
      </c>
      <c r="J34" s="34">
        <f t="shared" ref="J34:M34" si="35">I34+120</f>
        <v>36381</v>
      </c>
      <c r="K34" s="61">
        <v>36440</v>
      </c>
      <c r="L34" s="34">
        <f>K34+120</f>
        <v>36560</v>
      </c>
      <c r="M34" s="34">
        <f t="shared" si="35"/>
        <v>36680</v>
      </c>
      <c r="N34" s="34">
        <f t="shared" ref="N34" si="36">M34+120</f>
        <v>36800</v>
      </c>
      <c r="O34" s="34">
        <f t="shared" ref="O34" si="37">N34+120</f>
        <v>36920</v>
      </c>
      <c r="P34" s="34">
        <f>O34+120</f>
        <v>37040</v>
      </c>
      <c r="Q34" s="34">
        <f t="shared" ref="Q34" si="38">P34+120</f>
        <v>37160</v>
      </c>
      <c r="R34" s="50"/>
    </row>
    <row r="35" spans="1:20" ht="33.75" x14ac:dyDescent="0.25">
      <c r="A35" s="27">
        <v>28</v>
      </c>
      <c r="B35" s="28" t="s">
        <v>105</v>
      </c>
      <c r="C35" s="29" t="s">
        <v>106</v>
      </c>
      <c r="D35" s="30">
        <v>1306</v>
      </c>
      <c r="E35" s="30">
        <v>1419</v>
      </c>
      <c r="F35" s="34">
        <v>1556</v>
      </c>
      <c r="G35" s="39">
        <v>1791</v>
      </c>
      <c r="H35" s="39">
        <v>2325.7020000000002</v>
      </c>
      <c r="I35" s="39">
        <v>2784.03</v>
      </c>
      <c r="J35" s="39">
        <f t="shared" ref="J35" si="39">I35*1.01</f>
        <v>2811.8703</v>
      </c>
      <c r="K35" s="60">
        <v>2788</v>
      </c>
      <c r="L35" s="39">
        <f>K35*0.99</f>
        <v>2760.12</v>
      </c>
      <c r="M35" s="39">
        <f>L35*0.99</f>
        <v>2732.5187999999998</v>
      </c>
      <c r="N35" s="39">
        <f t="shared" ref="N35:Q35" si="40">M35*0.99</f>
        <v>2705.193612</v>
      </c>
      <c r="O35" s="39">
        <f t="shared" si="40"/>
        <v>2678.1416758800001</v>
      </c>
      <c r="P35" s="39">
        <f>O35*0.99</f>
        <v>2651.3602591212002</v>
      </c>
      <c r="Q35" s="39">
        <f t="shared" si="40"/>
        <v>2624.8466565299882</v>
      </c>
      <c r="R35" s="41"/>
    </row>
    <row r="36" spans="1:20" ht="22.5" x14ac:dyDescent="0.25">
      <c r="A36" s="27">
        <v>29</v>
      </c>
      <c r="B36" s="28" t="s">
        <v>107</v>
      </c>
      <c r="C36" s="29" t="s">
        <v>88</v>
      </c>
      <c r="D36" s="30">
        <v>95600</v>
      </c>
      <c r="E36" s="30">
        <v>110000</v>
      </c>
      <c r="F36" s="34">
        <v>126100</v>
      </c>
      <c r="G36" s="34">
        <v>90868</v>
      </c>
      <c r="H36" s="34">
        <v>107594</v>
      </c>
      <c r="I36" s="34">
        <v>155124.29999999999</v>
      </c>
      <c r="J36" s="34">
        <v>158624.29999999999</v>
      </c>
      <c r="K36" s="63">
        <f>I36+12500</f>
        <v>167624.29999999999</v>
      </c>
      <c r="L36" s="34">
        <f>K36+3500</f>
        <v>171124.3</v>
      </c>
      <c r="M36" s="34">
        <f>L36+3500</f>
        <v>174624.3</v>
      </c>
      <c r="N36" s="34">
        <f t="shared" ref="N36:Q36" si="41">M36+3500</f>
        <v>178124.3</v>
      </c>
      <c r="O36" s="34">
        <f t="shared" si="41"/>
        <v>181624.3</v>
      </c>
      <c r="P36" s="34">
        <f>O36+3500</f>
        <v>185124.3</v>
      </c>
      <c r="Q36" s="34">
        <f t="shared" si="41"/>
        <v>188624.3</v>
      </c>
      <c r="R36" s="50"/>
    </row>
    <row r="37" spans="1:20" ht="33.75" x14ac:dyDescent="0.25">
      <c r="A37" s="27">
        <v>30</v>
      </c>
      <c r="B37" s="28" t="s">
        <v>128</v>
      </c>
      <c r="C37" s="29" t="s">
        <v>106</v>
      </c>
      <c r="D37" s="30">
        <v>11096</v>
      </c>
      <c r="E37" s="30">
        <v>10988</v>
      </c>
      <c r="F37" s="34">
        <v>8438</v>
      </c>
      <c r="G37" s="39">
        <v>5449</v>
      </c>
      <c r="H37" s="39">
        <v>5149.2669999999998</v>
      </c>
      <c r="I37" s="39">
        <v>5235.76</v>
      </c>
      <c r="J37" s="39">
        <f>I37*0.99</f>
        <v>5183.4023999999999</v>
      </c>
      <c r="K37" s="60">
        <v>4821.16</v>
      </c>
      <c r="L37" s="39">
        <f>K37*0.99</f>
        <v>4772.9484000000002</v>
      </c>
      <c r="M37" s="39">
        <f t="shared" ref="M37" si="42">L37*0.99</f>
        <v>4725.2189159999998</v>
      </c>
      <c r="N37" s="39">
        <f t="shared" ref="N37" si="43">M37*0.99</f>
        <v>4677.9667268399999</v>
      </c>
      <c r="O37" s="39">
        <f t="shared" ref="O37" si="44">N37*0.99</f>
        <v>4631.1870595716</v>
      </c>
      <c r="P37" s="39">
        <f>O37*0.99</f>
        <v>4584.8751889758842</v>
      </c>
      <c r="Q37" s="39">
        <f t="shared" ref="Q37" si="45">P37*0.99</f>
        <v>4539.026437086125</v>
      </c>
      <c r="R37" s="41"/>
    </row>
    <row r="38" spans="1:20" ht="33.75" x14ac:dyDescent="0.25">
      <c r="A38" s="27">
        <v>31</v>
      </c>
      <c r="B38" s="28" t="s">
        <v>129</v>
      </c>
      <c r="C38" s="29" t="s">
        <v>91</v>
      </c>
      <c r="D38" s="30">
        <v>33145</v>
      </c>
      <c r="E38" s="30">
        <v>33235</v>
      </c>
      <c r="F38" s="34">
        <v>33250</v>
      </c>
      <c r="G38" s="34">
        <v>30626</v>
      </c>
      <c r="H38" s="34">
        <v>30881</v>
      </c>
      <c r="I38" s="34">
        <v>31456</v>
      </c>
      <c r="J38" s="34">
        <f t="shared" ref="J38:M38" si="46">I38+60</f>
        <v>31516</v>
      </c>
      <c r="K38" s="61">
        <v>31702</v>
      </c>
      <c r="L38" s="34">
        <f>K38+60</f>
        <v>31762</v>
      </c>
      <c r="M38" s="34">
        <f t="shared" si="46"/>
        <v>31822</v>
      </c>
      <c r="N38" s="34">
        <f t="shared" ref="N38" si="47">M38+60</f>
        <v>31882</v>
      </c>
      <c r="O38" s="34">
        <f t="shared" ref="O38" si="48">N38+60</f>
        <v>31942</v>
      </c>
      <c r="P38" s="34">
        <f>O38+60</f>
        <v>32002</v>
      </c>
      <c r="Q38" s="34">
        <f t="shared" ref="Q38" si="49">P38+60</f>
        <v>32062</v>
      </c>
      <c r="R38" s="50"/>
    </row>
    <row r="39" spans="1:20" ht="22.5" x14ac:dyDescent="0.25">
      <c r="A39" s="27">
        <v>32</v>
      </c>
      <c r="B39" s="28" t="s">
        <v>140</v>
      </c>
      <c r="C39" s="27" t="s">
        <v>81</v>
      </c>
      <c r="D39" s="31">
        <f>(D32/1000*0.123)+(D29/1000*0.1428)+((D35+D37)/1000*1.136)/1000</f>
        <v>2183.6206446720003</v>
      </c>
      <c r="E39" s="31">
        <f t="shared" ref="E39:M39" si="50">(E32/1000*0.123)+(E29/1000*0.1428)+((E35+E37)/1000*1.136)/1000</f>
        <v>2196.746865952</v>
      </c>
      <c r="F39" s="39">
        <f t="shared" si="50"/>
        <v>2394.7243283840003</v>
      </c>
      <c r="G39" s="39">
        <f>(G32/1000*0.123)+(G29/1000*0.1428)+((G35+G37)/1000*1.136)/1000</f>
        <v>2089.1810542400003</v>
      </c>
      <c r="H39" s="39">
        <f>(H32/1000*0.123)+(H29/1000*0.1428)+((H35+H37)/1000*1.136)/1000</f>
        <v>2096.0680683647838</v>
      </c>
      <c r="I39" s="39">
        <f>(I32/1000*0.123)+(I29/1000*0.1428)+((I35+I37)/1000*1.136)/1000</f>
        <v>1990.64037015344</v>
      </c>
      <c r="J39" s="39">
        <f t="shared" si="50"/>
        <v>1970.7340297050671</v>
      </c>
      <c r="K39" s="60">
        <v>1839</v>
      </c>
      <c r="L39" s="39">
        <f t="shared" si="50"/>
        <v>1838.8339325135425</v>
      </c>
      <c r="M39" s="39">
        <f t="shared" si="50"/>
        <v>1820.445593188407</v>
      </c>
      <c r="N39" s="39">
        <f t="shared" ref="N39:Q39" si="51">(N32/1000*0.123)+(N29/1000*0.1428)+((N35+N37)/1000*1.136)/1000</f>
        <v>1802.241137256523</v>
      </c>
      <c r="O39" s="39">
        <f t="shared" si="51"/>
        <v>1784.2187258839576</v>
      </c>
      <c r="P39" s="39">
        <f t="shared" si="51"/>
        <v>1766.376538625118</v>
      </c>
      <c r="Q39" s="39">
        <f t="shared" si="51"/>
        <v>1748.7127732388669</v>
      </c>
      <c r="R39" s="41"/>
    </row>
    <row r="40" spans="1:20" ht="22.5" x14ac:dyDescent="0.25">
      <c r="A40" s="27">
        <v>33</v>
      </c>
      <c r="B40" s="28" t="s">
        <v>108</v>
      </c>
      <c r="C40" s="27" t="s">
        <v>81</v>
      </c>
      <c r="D40" s="30">
        <v>36585</v>
      </c>
      <c r="E40" s="30">
        <v>36354</v>
      </c>
      <c r="F40" s="34">
        <v>38224</v>
      </c>
      <c r="G40" s="39">
        <v>30691</v>
      </c>
      <c r="H40" s="39">
        <v>34772</v>
      </c>
      <c r="I40" s="39">
        <v>34564</v>
      </c>
      <c r="J40" s="39">
        <f t="shared" ref="J40:M40" si="52">I40*0.99</f>
        <v>34218.36</v>
      </c>
      <c r="K40" s="60">
        <v>36246</v>
      </c>
      <c r="L40" s="39">
        <f>K40*0.97</f>
        <v>35158.620000000003</v>
      </c>
      <c r="M40" s="39">
        <f t="shared" si="52"/>
        <v>34807.033800000005</v>
      </c>
      <c r="N40" s="39">
        <f t="shared" ref="N40" si="53">M40*0.99</f>
        <v>34458.963462000007</v>
      </c>
      <c r="O40" s="39">
        <f t="shared" ref="O40" si="54">N40*0.99</f>
        <v>34114.373827380005</v>
      </c>
      <c r="P40" s="39">
        <f>O40*0.99</f>
        <v>33773.230089106204</v>
      </c>
      <c r="Q40" s="39">
        <f t="shared" ref="Q40" si="55">P40*0.99</f>
        <v>33435.497788215143</v>
      </c>
      <c r="R40" s="41"/>
    </row>
    <row r="41" spans="1:20" ht="22.5" x14ac:dyDescent="0.25">
      <c r="A41" s="27">
        <v>34</v>
      </c>
      <c r="B41" s="28" t="s">
        <v>109</v>
      </c>
      <c r="C41" s="27" t="s">
        <v>110</v>
      </c>
      <c r="D41" s="30">
        <v>0.22900000000000001</v>
      </c>
      <c r="E41" s="30">
        <v>0.22</v>
      </c>
      <c r="F41" s="34">
        <v>0.219</v>
      </c>
      <c r="G41" s="40">
        <v>0.19</v>
      </c>
      <c r="H41" s="40">
        <v>0.20300000000000001</v>
      </c>
      <c r="I41" s="40">
        <v>0.20399999999999999</v>
      </c>
      <c r="J41" s="40">
        <f t="shared" ref="J41:M41" si="56">I41*0.9937</f>
        <v>0.2027148</v>
      </c>
      <c r="K41" s="64">
        <v>0.21099999999999999</v>
      </c>
      <c r="L41" s="40">
        <f>K41*0.9937</f>
        <v>0.20967069999999999</v>
      </c>
      <c r="M41" s="40">
        <f t="shared" si="56"/>
        <v>0.20834977458999998</v>
      </c>
      <c r="N41" s="40">
        <f t="shared" ref="N41" si="57">M41*0.9937</f>
        <v>0.20703717101008298</v>
      </c>
      <c r="O41" s="40">
        <f t="shared" ref="O41" si="58">N41*0.9937</f>
        <v>0.20573283683271945</v>
      </c>
      <c r="P41" s="40">
        <f>O41*0.9937</f>
        <v>0.20443671996067334</v>
      </c>
      <c r="Q41" s="40">
        <f t="shared" ref="Q41" si="59">P41*0.9937</f>
        <v>0.20314876862492109</v>
      </c>
      <c r="R41" s="73"/>
    </row>
    <row r="42" spans="1:20" ht="22.5" x14ac:dyDescent="0.25">
      <c r="A42" s="27">
        <v>35</v>
      </c>
      <c r="B42" s="28" t="s">
        <v>111</v>
      </c>
      <c r="C42" s="27" t="s">
        <v>81</v>
      </c>
      <c r="D42" s="30">
        <f>9731+2531</f>
        <v>12262</v>
      </c>
      <c r="E42" s="30">
        <f>9184+2599</f>
        <v>11783</v>
      </c>
      <c r="F42" s="34">
        <f>9945+2138</f>
        <v>12083</v>
      </c>
      <c r="G42" s="39">
        <v>9950</v>
      </c>
      <c r="H42" s="39">
        <v>9309</v>
      </c>
      <c r="I42" s="39">
        <v>8221.09</v>
      </c>
      <c r="J42" s="39">
        <f>I42*0.99</f>
        <v>8138.8791000000001</v>
      </c>
      <c r="K42" s="60">
        <v>9235.76</v>
      </c>
      <c r="L42" s="39">
        <f>K42*0.9</f>
        <v>8312.1840000000011</v>
      </c>
      <c r="M42" s="39">
        <f>L42*0.99</f>
        <v>8229.0621600000013</v>
      </c>
      <c r="N42" s="39">
        <f>M42*0.98</f>
        <v>8064.4809168000011</v>
      </c>
      <c r="O42" s="39">
        <f t="shared" ref="O42:Q42" si="60">N42*0.99</f>
        <v>7983.8361076320007</v>
      </c>
      <c r="P42" s="39">
        <f>O42*0.99</f>
        <v>7903.9977465556804</v>
      </c>
      <c r="Q42" s="39">
        <f t="shared" si="60"/>
        <v>7824.9577690901233</v>
      </c>
      <c r="R42" s="41"/>
      <c r="S42" s="51"/>
      <c r="T42" s="51"/>
    </row>
    <row r="43" spans="1:20" x14ac:dyDescent="0.25">
      <c r="A43" s="27">
        <v>36</v>
      </c>
      <c r="B43" s="28" t="s">
        <v>112</v>
      </c>
      <c r="C43" s="27" t="s">
        <v>103</v>
      </c>
      <c r="D43" s="30">
        <f>57421+16458</f>
        <v>73879</v>
      </c>
      <c r="E43" s="30">
        <f>54077+17115</f>
        <v>71192</v>
      </c>
      <c r="F43" s="34">
        <f>58984+14278</f>
        <v>73262</v>
      </c>
      <c r="G43" s="39">
        <v>59553</v>
      </c>
      <c r="H43" s="39">
        <v>56676</v>
      </c>
      <c r="I43" s="39">
        <v>50559.87</v>
      </c>
      <c r="J43" s="39">
        <f>J42/0.1625</f>
        <v>50085.409846153845</v>
      </c>
      <c r="K43" s="60">
        <v>56653.67</v>
      </c>
      <c r="L43" s="39">
        <f>L42/0.1624</f>
        <v>51183.399014778333</v>
      </c>
      <c r="M43" s="39">
        <f>M42/0.1623</f>
        <v>50702.785951940859</v>
      </c>
      <c r="N43" s="39">
        <f t="shared" ref="N43:Q43" si="61">N42/0.1623</f>
        <v>49688.730232902039</v>
      </c>
      <c r="O43" s="39">
        <f t="shared" si="61"/>
        <v>49191.842930573017</v>
      </c>
      <c r="P43" s="39">
        <f t="shared" si="61"/>
        <v>48699.924501267284</v>
      </c>
      <c r="Q43" s="39">
        <f t="shared" si="61"/>
        <v>48212.92525625461</v>
      </c>
      <c r="R43" s="41"/>
      <c r="S43" s="51"/>
      <c r="T43" s="51"/>
    </row>
    <row r="44" spans="1:20" ht="34.5" x14ac:dyDescent="0.25">
      <c r="A44" s="27">
        <v>37</v>
      </c>
      <c r="B44" s="35" t="s">
        <v>113</v>
      </c>
      <c r="C44" s="29" t="s">
        <v>83</v>
      </c>
      <c r="D44" s="30">
        <v>4162</v>
      </c>
      <c r="E44" s="30">
        <v>4317</v>
      </c>
      <c r="F44" s="34">
        <v>4639</v>
      </c>
      <c r="G44" s="39">
        <v>2865</v>
      </c>
      <c r="H44" s="39">
        <v>2815.58</v>
      </c>
      <c r="I44" s="39">
        <v>2902.54</v>
      </c>
      <c r="J44" s="39">
        <f>I44*0.99</f>
        <v>2873.5146</v>
      </c>
      <c r="K44" s="60">
        <v>2527.71</v>
      </c>
      <c r="L44" s="39">
        <v>2528</v>
      </c>
      <c r="M44" s="39">
        <f t="shared" ref="M44" si="62">L44*0.99</f>
        <v>2502.7199999999998</v>
      </c>
      <c r="N44" s="39">
        <f t="shared" ref="N44" si="63">M44*0.99</f>
        <v>2477.6927999999998</v>
      </c>
      <c r="O44" s="39">
        <f t="shared" ref="O44" si="64">N44*0.99</f>
        <v>2452.9158719999996</v>
      </c>
      <c r="P44" s="39">
        <f>O44*0.99</f>
        <v>2428.3867132799996</v>
      </c>
      <c r="Q44" s="39">
        <f>P44*0.99</f>
        <v>2404.1028461471997</v>
      </c>
      <c r="R44" s="41"/>
      <c r="S44" s="51"/>
      <c r="T44" s="51"/>
    </row>
    <row r="45" spans="1:20" ht="23.25" x14ac:dyDescent="0.25">
      <c r="A45" s="27">
        <v>38</v>
      </c>
      <c r="B45" s="35" t="s">
        <v>168</v>
      </c>
      <c r="C45" s="29" t="s">
        <v>106</v>
      </c>
      <c r="D45" s="30">
        <v>11796</v>
      </c>
      <c r="E45" s="30">
        <v>13271</v>
      </c>
      <c r="F45" s="34">
        <v>13819</v>
      </c>
      <c r="G45" s="39">
        <v>5741</v>
      </c>
      <c r="H45" s="39">
        <v>5910</v>
      </c>
      <c r="I45" s="39">
        <v>6071.77</v>
      </c>
      <c r="J45" s="39">
        <f>J44/0.475</f>
        <v>6049.5044210526321</v>
      </c>
      <c r="K45" s="60">
        <v>6130.88</v>
      </c>
      <c r="L45" s="39">
        <f>L44/0.474</f>
        <v>5333.3333333333339</v>
      </c>
      <c r="M45" s="39">
        <f>M44/0.473</f>
        <v>5291.1627906976746</v>
      </c>
      <c r="N45" s="39">
        <f>N44/0.472</f>
        <v>5249.3491525423724</v>
      </c>
      <c r="O45" s="39">
        <f>O44/0.471</f>
        <v>5207.8893248407639</v>
      </c>
      <c r="P45" s="39">
        <f>P44/0.47</f>
        <v>5166.7802410212762</v>
      </c>
      <c r="Q45" s="39">
        <f>Q44/0.469</f>
        <v>5126.0188617211079</v>
      </c>
      <c r="R45" s="41"/>
      <c r="S45" s="51"/>
      <c r="T45" s="51"/>
    </row>
    <row r="46" spans="1:20" x14ac:dyDescent="0.25">
      <c r="A46" s="27">
        <v>39</v>
      </c>
      <c r="B46" s="35" t="s">
        <v>114</v>
      </c>
      <c r="C46" s="27" t="s">
        <v>103</v>
      </c>
      <c r="D46" s="30">
        <v>13352</v>
      </c>
      <c r="E46" s="30">
        <v>12419</v>
      </c>
      <c r="F46" s="34">
        <v>12699</v>
      </c>
      <c r="G46" s="39">
        <v>22079</v>
      </c>
      <c r="H46" s="39">
        <v>45930</v>
      </c>
      <c r="I46" s="39">
        <v>43007.81</v>
      </c>
      <c r="J46" s="39">
        <f t="shared" ref="J46" si="65">I46*0.99</f>
        <v>42577.731899999999</v>
      </c>
      <c r="K46" s="60">
        <v>50698.12</v>
      </c>
      <c r="L46" s="39">
        <f>L47*14.54/100</f>
        <v>39563.287481519998</v>
      </c>
      <c r="M46" s="39">
        <f>M47*14.53/100</f>
        <v>39140.716742463599</v>
      </c>
      <c r="N46" s="39">
        <f>N47*14.52/100</f>
        <v>38722.641089440171</v>
      </c>
      <c r="O46" s="39">
        <f>O47*14.51/100</f>
        <v>38309.012877802968</v>
      </c>
      <c r="P46" s="39">
        <f>P47*14.5/100</f>
        <v>37899.784966289561</v>
      </c>
      <c r="Q46" s="39">
        <f>Q47*14.49/100</f>
        <v>37494.91071171865</v>
      </c>
      <c r="R46" s="41"/>
      <c r="S46" s="51"/>
      <c r="T46" s="51"/>
    </row>
    <row r="47" spans="1:20" x14ac:dyDescent="0.25">
      <c r="A47" s="27">
        <v>40</v>
      </c>
      <c r="B47" s="35" t="s">
        <v>115</v>
      </c>
      <c r="C47" s="27" t="s">
        <v>103</v>
      </c>
      <c r="D47" s="30">
        <f>D46+D9*1000</f>
        <v>300352</v>
      </c>
      <c r="E47" s="30">
        <f>E46+E9*1000</f>
        <v>277419</v>
      </c>
      <c r="F47" s="34">
        <f>F46+F9*1000</f>
        <v>288699</v>
      </c>
      <c r="G47" s="39">
        <v>227606</v>
      </c>
      <c r="H47" s="34">
        <f>H46+H9*1000</f>
        <v>314130</v>
      </c>
      <c r="I47" s="39">
        <v>294877.81</v>
      </c>
      <c r="J47" s="39">
        <f>J46/0.1456</f>
        <v>292429.47733516479</v>
      </c>
      <c r="K47" s="60">
        <v>274848.12</v>
      </c>
      <c r="L47" s="39">
        <f>K47*0.99</f>
        <v>272099.63880000002</v>
      </c>
      <c r="M47" s="39">
        <f>L47*0.99</f>
        <v>269378.64241199999</v>
      </c>
      <c r="N47" s="39">
        <f t="shared" ref="N47:Q47" si="66">M47*0.99</f>
        <v>266684.85598787997</v>
      </c>
      <c r="O47" s="39">
        <f t="shared" si="66"/>
        <v>264018.00742800115</v>
      </c>
      <c r="P47" s="39">
        <f>O47*0.99</f>
        <v>261377.82735372114</v>
      </c>
      <c r="Q47" s="39">
        <f t="shared" si="66"/>
        <v>258764.04908018393</v>
      </c>
      <c r="R47" s="41"/>
      <c r="S47" s="51"/>
      <c r="T47" s="51"/>
    </row>
    <row r="48" spans="1:20" ht="22.5" x14ac:dyDescent="0.25">
      <c r="A48" s="27">
        <v>41</v>
      </c>
      <c r="B48" s="35" t="s">
        <v>116</v>
      </c>
      <c r="C48" s="29" t="s">
        <v>106</v>
      </c>
      <c r="D48" s="30">
        <v>385</v>
      </c>
      <c r="E48" s="30">
        <v>358</v>
      </c>
      <c r="F48" s="34">
        <v>326</v>
      </c>
      <c r="G48" s="39">
        <v>313</v>
      </c>
      <c r="H48" s="39">
        <v>299.04700000000003</v>
      </c>
      <c r="I48" s="39">
        <v>316.77999999999997</v>
      </c>
      <c r="J48" s="39">
        <f>I48*0.988</f>
        <v>312.97863999999998</v>
      </c>
      <c r="K48" s="60">
        <v>312.67</v>
      </c>
      <c r="L48" s="39">
        <f>K48*0.97</f>
        <v>303.28989999999999</v>
      </c>
      <c r="M48" s="39">
        <f>L48*0.986</f>
        <v>299.04384139999996</v>
      </c>
      <c r="N48" s="39">
        <f t="shared" ref="N48:Q48" si="67">M48*0.986</f>
        <v>294.85722762039995</v>
      </c>
      <c r="O48" s="39">
        <f t="shared" si="67"/>
        <v>290.72922643371436</v>
      </c>
      <c r="P48" s="39">
        <f>O48*0.986</f>
        <v>286.65901726364234</v>
      </c>
      <c r="Q48" s="39">
        <f t="shared" si="67"/>
        <v>282.64579102195137</v>
      </c>
      <c r="R48" s="41"/>
      <c r="S48" s="51"/>
      <c r="T48" s="51"/>
    </row>
    <row r="49" spans="1:20" ht="23.25" x14ac:dyDescent="0.25">
      <c r="A49" s="27">
        <v>42</v>
      </c>
      <c r="B49" s="35" t="s">
        <v>117</v>
      </c>
      <c r="C49" s="29" t="s">
        <v>83</v>
      </c>
      <c r="D49" s="31">
        <v>2900</v>
      </c>
      <c r="E49" s="31">
        <v>2833.7</v>
      </c>
      <c r="F49" s="39">
        <v>2615.9499999999998</v>
      </c>
      <c r="G49" s="39">
        <v>2809</v>
      </c>
      <c r="H49" s="39">
        <v>1782</v>
      </c>
      <c r="I49" s="39">
        <v>1692</v>
      </c>
      <c r="J49" s="39">
        <f>I49*0.987</f>
        <v>1670.0039999999999</v>
      </c>
      <c r="K49" s="60">
        <v>1617.07</v>
      </c>
      <c r="L49" s="39">
        <f>(L48+L10+L11)*0.431</f>
        <v>1593.7952878999997</v>
      </c>
      <c r="M49" s="39">
        <f>(M48+M10+M11)*0.43</f>
        <v>1573.674754502</v>
      </c>
      <c r="N49" s="39">
        <f>(N48+N10+N11)*0.429</f>
        <v>1553.8017360810513</v>
      </c>
      <c r="O49" s="39">
        <f>(O48+O10+O11)*0.428</f>
        <v>1534.1732268325213</v>
      </c>
      <c r="P49" s="39">
        <f>(P48+P10+P11)*0.427</f>
        <v>1514.7862573291761</v>
      </c>
      <c r="Q49" s="39">
        <f>(Q48+Q10+Q11)*0.426</f>
        <v>1495.6378940790951</v>
      </c>
      <c r="R49" s="41"/>
      <c r="S49" s="51"/>
      <c r="T49" s="51"/>
    </row>
    <row r="50" spans="1:20" ht="23.25" x14ac:dyDescent="0.25">
      <c r="A50" s="27">
        <v>43</v>
      </c>
      <c r="B50" s="35" t="s">
        <v>118</v>
      </c>
      <c r="C50" s="29" t="s">
        <v>83</v>
      </c>
      <c r="D50" s="30">
        <v>1852</v>
      </c>
      <c r="E50" s="30">
        <v>1809</v>
      </c>
      <c r="F50" s="34">
        <v>1851</v>
      </c>
      <c r="G50" s="39">
        <v>1709</v>
      </c>
      <c r="H50" s="39">
        <v>1828.16</v>
      </c>
      <c r="I50" s="39">
        <v>1661.08</v>
      </c>
      <c r="J50" s="39">
        <f>I50*0.99</f>
        <v>1644.4692</v>
      </c>
      <c r="K50" s="60">
        <v>1523.1</v>
      </c>
      <c r="L50" s="39">
        <v>1523</v>
      </c>
      <c r="M50" s="39">
        <f>L50*0.987</f>
        <v>1503.201</v>
      </c>
      <c r="N50" s="39">
        <f t="shared" ref="N50:Q50" si="68">M50*0.987</f>
        <v>1483.6593869999999</v>
      </c>
      <c r="O50" s="39">
        <f t="shared" si="68"/>
        <v>1464.3718149689998</v>
      </c>
      <c r="P50" s="39">
        <f>O50*0.987</f>
        <v>1445.3349813744028</v>
      </c>
      <c r="Q50" s="39">
        <f t="shared" si="68"/>
        <v>1426.5456266165356</v>
      </c>
      <c r="R50" s="41"/>
      <c r="S50" s="51"/>
      <c r="T50" s="51"/>
    </row>
    <row r="51" spans="1:20" ht="22.5" x14ac:dyDescent="0.25">
      <c r="A51" s="27">
        <v>44</v>
      </c>
      <c r="B51" s="35" t="s">
        <v>119</v>
      </c>
      <c r="C51" s="29" t="s">
        <v>106</v>
      </c>
      <c r="D51" s="30">
        <v>3222</v>
      </c>
      <c r="E51" s="30">
        <v>2952</v>
      </c>
      <c r="F51" s="34">
        <v>2750</v>
      </c>
      <c r="G51" s="39">
        <v>2655</v>
      </c>
      <c r="H51" s="39">
        <v>3129.7</v>
      </c>
      <c r="I51" s="39">
        <v>2627.6</v>
      </c>
      <c r="J51" s="39">
        <f>J50/0.63</f>
        <v>2610.2685714285712</v>
      </c>
      <c r="K51" s="60">
        <v>2661.8</v>
      </c>
      <c r="L51" s="39">
        <f>K51*0.999</f>
        <v>2659.1382000000003</v>
      </c>
      <c r="M51" s="39">
        <f>L51*0.99</f>
        <v>2632.5468180000003</v>
      </c>
      <c r="N51" s="39">
        <f t="shared" ref="N51:Q51" si="69">M51*0.99</f>
        <v>2606.2213498200003</v>
      </c>
      <c r="O51" s="39">
        <f t="shared" si="69"/>
        <v>2580.1591363218004</v>
      </c>
      <c r="P51" s="39">
        <f>O51*0.99</f>
        <v>2554.3575449585824</v>
      </c>
      <c r="Q51" s="39">
        <f t="shared" si="69"/>
        <v>2528.8139695089967</v>
      </c>
      <c r="R51" s="41"/>
    </row>
    <row r="52" spans="1:20" ht="23.25" x14ac:dyDescent="0.25">
      <c r="A52" s="27">
        <v>45</v>
      </c>
      <c r="B52" s="35" t="s">
        <v>120</v>
      </c>
      <c r="C52" s="29" t="s">
        <v>87</v>
      </c>
      <c r="D52" s="30">
        <v>2162921</v>
      </c>
      <c r="E52" s="30">
        <v>1459092</v>
      </c>
      <c r="F52" s="34">
        <v>1488617</v>
      </c>
      <c r="G52" s="34">
        <v>1737237</v>
      </c>
      <c r="H52" s="34">
        <v>1731398</v>
      </c>
      <c r="I52" s="34">
        <v>1781241</v>
      </c>
      <c r="J52" s="34">
        <f>I52*0.998</f>
        <v>1777678.5179999999</v>
      </c>
      <c r="K52" s="61">
        <v>1560523</v>
      </c>
      <c r="L52" s="34">
        <f>J52*0.99</f>
        <v>1759901.7328199998</v>
      </c>
      <c r="M52" s="34">
        <f>L52*0.997</f>
        <v>1754622.0276215398</v>
      </c>
      <c r="N52" s="34">
        <f t="shared" ref="N52:Q52" si="70">M52*0.997</f>
        <v>1749358.1615386752</v>
      </c>
      <c r="O52" s="34">
        <f t="shared" si="70"/>
        <v>1744110.0870540591</v>
      </c>
      <c r="P52" s="34">
        <f>O52*0.997</f>
        <v>1738877.7567928969</v>
      </c>
      <c r="Q52" s="34">
        <f t="shared" si="70"/>
        <v>1733661.1235225182</v>
      </c>
      <c r="R52" s="50"/>
    </row>
    <row r="53" spans="1:20" x14ac:dyDescent="0.25">
      <c r="A53" s="27">
        <v>46</v>
      </c>
      <c r="B53" s="35" t="s">
        <v>121</v>
      </c>
      <c r="C53" s="29" t="s">
        <v>122</v>
      </c>
      <c r="D53" s="30">
        <v>1327900</v>
      </c>
      <c r="E53" s="30">
        <v>1327900</v>
      </c>
      <c r="F53" s="34">
        <v>1327900</v>
      </c>
      <c r="G53" s="34">
        <f t="shared" ref="G53" si="71">F53+100</f>
        <v>1328000</v>
      </c>
      <c r="H53" s="34">
        <v>1328100</v>
      </c>
      <c r="I53" s="34">
        <v>1328100</v>
      </c>
      <c r="J53" s="34">
        <f>I53</f>
        <v>1328100</v>
      </c>
      <c r="K53" s="61">
        <v>1328100</v>
      </c>
      <c r="L53" s="34">
        <f>J53</f>
        <v>1328100</v>
      </c>
      <c r="M53" s="34">
        <f>L53</f>
        <v>1328100</v>
      </c>
      <c r="N53" s="34">
        <f t="shared" ref="N53:Q53" si="72">M53</f>
        <v>1328100</v>
      </c>
      <c r="O53" s="34">
        <f t="shared" si="72"/>
        <v>1328100</v>
      </c>
      <c r="P53" s="34">
        <f>O53</f>
        <v>1328100</v>
      </c>
      <c r="Q53" s="34">
        <f t="shared" si="72"/>
        <v>1328100</v>
      </c>
      <c r="R53" s="50"/>
    </row>
  </sheetData>
  <mergeCells count="6">
    <mergeCell ref="Q1:R1"/>
    <mergeCell ref="J2:R2"/>
    <mergeCell ref="J3:R3"/>
    <mergeCell ref="A5:M5"/>
    <mergeCell ref="A1:C1"/>
    <mergeCell ref="A2:C2"/>
  </mergeCells>
  <phoneticPr fontId="6" type="noConversion"/>
  <pageMargins left="0.31496062992125984" right="0.31496062992125984" top="0.55118110236220474" bottom="0.35433070866141736" header="0.31496062992125984" footer="0.31496062992125984"/>
  <pageSetup paperSize="9" scale="95" orientation="landscape" r:id="rId1"/>
  <ignoredErrors>
    <ignoredError sqref="M23 J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zoomScale="115" zoomScaleNormal="115" workbookViewId="0">
      <selection activeCell="N39" sqref="N39"/>
    </sheetView>
  </sheetViews>
  <sheetFormatPr defaultRowHeight="15" x14ac:dyDescent="0.25"/>
  <cols>
    <col min="1" max="1" width="3.140625" bestFit="1" customWidth="1"/>
    <col min="2" max="2" width="36.7109375" customWidth="1"/>
    <col min="3" max="3" width="18.140625" customWidth="1"/>
    <col min="4" max="4" width="24.7109375" customWidth="1"/>
    <col min="5" max="5" width="10" hidden="1" customWidth="1"/>
    <col min="6" max="6" width="0.28515625" hidden="1" customWidth="1"/>
    <col min="7" max="8" width="0" hidden="1" customWidth="1"/>
    <col min="9" max="9" width="9.140625" style="36"/>
    <col min="12" max="12" width="0" hidden="1" customWidth="1"/>
  </cols>
  <sheetData>
    <row r="1" spans="1:23" x14ac:dyDescent="0.25">
      <c r="A1" s="3"/>
      <c r="B1" s="3"/>
      <c r="C1" s="4"/>
      <c r="D1" s="5"/>
      <c r="E1" s="4"/>
      <c r="O1" s="70"/>
      <c r="P1" s="70"/>
      <c r="Q1" s="74" t="s">
        <v>185</v>
      </c>
      <c r="R1" s="74"/>
      <c r="S1" s="70"/>
      <c r="T1" s="70"/>
      <c r="U1" s="70"/>
      <c r="V1" s="70"/>
      <c r="W1" s="70"/>
    </row>
    <row r="2" spans="1:23" ht="14.25" customHeight="1" x14ac:dyDescent="0.25">
      <c r="A2" s="3"/>
      <c r="B2" s="3"/>
      <c r="C2" s="4"/>
      <c r="D2" s="5"/>
      <c r="E2" s="4"/>
      <c r="F2" s="70"/>
      <c r="G2" s="70"/>
      <c r="H2" s="70"/>
      <c r="I2" s="70"/>
      <c r="J2" s="70"/>
      <c r="K2" s="70" t="s">
        <v>191</v>
      </c>
      <c r="L2" s="70"/>
      <c r="O2" s="70"/>
      <c r="P2" s="70"/>
      <c r="Q2" s="70"/>
      <c r="R2" s="70"/>
      <c r="S2" s="70"/>
      <c r="T2" s="70"/>
      <c r="U2" s="70"/>
      <c r="V2" s="70"/>
      <c r="W2" s="70"/>
    </row>
    <row r="3" spans="1:23" x14ac:dyDescent="0.25">
      <c r="A3" s="3"/>
      <c r="B3" s="3"/>
      <c r="C3" s="4"/>
      <c r="D3" s="5"/>
      <c r="E3" s="4"/>
      <c r="K3" s="66" t="s">
        <v>175</v>
      </c>
      <c r="N3" s="66"/>
      <c r="O3" s="66"/>
      <c r="P3" s="66"/>
      <c r="Q3" s="66"/>
      <c r="R3" s="66"/>
      <c r="S3" s="66"/>
      <c r="T3" s="66"/>
      <c r="U3" s="66"/>
    </row>
    <row r="4" spans="1:23" x14ac:dyDescent="0.25">
      <c r="A4" s="3"/>
      <c r="B4" s="3"/>
      <c r="C4" s="4"/>
      <c r="D4" s="5"/>
      <c r="E4" s="4"/>
      <c r="F4" s="6"/>
      <c r="K4" s="67" t="s">
        <v>189</v>
      </c>
      <c r="L4" s="67"/>
      <c r="M4" s="67"/>
      <c r="N4" s="67"/>
      <c r="O4" s="67"/>
      <c r="P4" s="67"/>
      <c r="Q4" s="67"/>
      <c r="R4" s="67"/>
    </row>
    <row r="5" spans="1:23" ht="74.25" customHeight="1" x14ac:dyDescent="0.25">
      <c r="A5" s="82" t="s">
        <v>190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23" ht="21.75" customHeight="1" x14ac:dyDescent="0.25">
      <c r="A6" s="83" t="s">
        <v>138</v>
      </c>
      <c r="B6" s="85" t="s">
        <v>170</v>
      </c>
      <c r="C6" s="87" t="s">
        <v>177</v>
      </c>
      <c r="D6" s="87" t="s">
        <v>61</v>
      </c>
      <c r="E6" s="23"/>
      <c r="F6" s="23"/>
      <c r="G6" s="92" t="s">
        <v>176</v>
      </c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1:23" ht="23.25" customHeight="1" x14ac:dyDescent="0.25">
      <c r="A7" s="84"/>
      <c r="B7" s="86"/>
      <c r="C7" s="88"/>
      <c r="D7" s="88"/>
      <c r="E7" s="14">
        <v>2012</v>
      </c>
      <c r="F7" s="14">
        <v>2013</v>
      </c>
      <c r="G7" s="14">
        <v>2014</v>
      </c>
      <c r="H7" s="14">
        <v>2015</v>
      </c>
      <c r="I7" s="42">
        <v>2016</v>
      </c>
      <c r="J7" s="14">
        <v>2017</v>
      </c>
      <c r="K7" s="14">
        <v>2018</v>
      </c>
      <c r="L7" s="14" t="s">
        <v>188</v>
      </c>
      <c r="M7" s="14">
        <v>2019</v>
      </c>
      <c r="N7" s="14">
        <v>2020</v>
      </c>
      <c r="O7" s="69">
        <v>2021</v>
      </c>
      <c r="P7" s="69">
        <v>2022</v>
      </c>
      <c r="Q7" s="69">
        <v>2023</v>
      </c>
      <c r="R7" s="69">
        <v>2024</v>
      </c>
    </row>
    <row r="8" spans="1:23" ht="21.75" customHeight="1" x14ac:dyDescent="0.25">
      <c r="A8" s="7">
        <v>1</v>
      </c>
      <c r="B8" s="78" t="s">
        <v>6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80"/>
    </row>
    <row r="9" spans="1:23" ht="84" x14ac:dyDescent="0.25">
      <c r="A9" s="8" t="s">
        <v>7</v>
      </c>
      <c r="B9" s="15" t="s">
        <v>0</v>
      </c>
      <c r="C9" s="16" t="s">
        <v>60</v>
      </c>
      <c r="D9" s="16" t="s">
        <v>141</v>
      </c>
      <c r="E9" s="16">
        <f>'исх. данные'!D13/'исх. данные'!D8*100</f>
        <v>100</v>
      </c>
      <c r="F9" s="16">
        <f>'исх. данные'!E13/'исх. данные'!E8*100</f>
        <v>100</v>
      </c>
      <c r="G9" s="16">
        <f>'исх. данные'!F13/'исх. данные'!F8*100</f>
        <v>100</v>
      </c>
      <c r="H9" s="16">
        <f>'исх. данные'!G13/'исх. данные'!G8*100</f>
        <v>100</v>
      </c>
      <c r="I9" s="22">
        <f>'исх. данные'!H13/'исх. данные'!H8*100</f>
        <v>100</v>
      </c>
      <c r="J9" s="16">
        <f>'исх. данные'!I13/'исх. данные'!I8*100</f>
        <v>100</v>
      </c>
      <c r="K9" s="16">
        <f>'исх. данные'!J13/'исх. данные'!J8*100</f>
        <v>100</v>
      </c>
      <c r="L9" s="53">
        <f>'исх. данные'!K13/'исх. данные'!K8*100</f>
        <v>100</v>
      </c>
      <c r="M9" s="16">
        <f>'исх. данные'!L13/'исх. данные'!L8*100</f>
        <v>100</v>
      </c>
      <c r="N9" s="16">
        <f>'исх. данные'!M13/'исх. данные'!M8*100</f>
        <v>100</v>
      </c>
      <c r="O9" s="16">
        <f>'исх. данные'!N13/'исх. данные'!N8*100</f>
        <v>100</v>
      </c>
      <c r="P9" s="16">
        <f>'исх. данные'!O13/'исх. данные'!O8*100</f>
        <v>100</v>
      </c>
      <c r="Q9" s="16">
        <f>'исх. данные'!P13/'исх. данные'!P8*100</f>
        <v>100</v>
      </c>
      <c r="R9" s="16">
        <f>'исх. данные'!Q13/'исх. данные'!Q8*100</f>
        <v>100</v>
      </c>
    </row>
    <row r="10" spans="1:23" ht="72" x14ac:dyDescent="0.25">
      <c r="A10" s="8" t="s">
        <v>8</v>
      </c>
      <c r="B10" s="15" t="s">
        <v>1</v>
      </c>
      <c r="C10" s="16" t="s">
        <v>60</v>
      </c>
      <c r="D10" s="16" t="s">
        <v>142</v>
      </c>
      <c r="E10" s="17">
        <f>'исх. данные'!D14/'исх. данные'!D9*100</f>
        <v>65.156794425087099</v>
      </c>
      <c r="F10" s="17">
        <f>'исх. данные'!E14/'исх. данные'!E9*100</f>
        <v>54.716981132075468</v>
      </c>
      <c r="G10" s="17">
        <v>64</v>
      </c>
      <c r="H10" s="17">
        <v>67</v>
      </c>
      <c r="I10" s="43">
        <f>'исх. данные'!H14/'исх. данные'!H9*100</f>
        <v>57.00969425801641</v>
      </c>
      <c r="J10" s="17">
        <f>'исх. данные'!I14/'исх. данные'!I9*100</f>
        <v>57.831420971135906</v>
      </c>
      <c r="K10" s="17">
        <f>'исх. данные'!J14/'исх. данные'!J9*100</f>
        <v>59</v>
      </c>
      <c r="L10" s="54">
        <f>'исх. данные'!K14/'исх. данные'!K9*100</f>
        <v>69.966540263216601</v>
      </c>
      <c r="M10" s="17">
        <f>'исх. данные'!L14/'исх. данные'!L9*100</f>
        <v>71</v>
      </c>
      <c r="N10" s="17">
        <f>'исх. данные'!M14/'исх. данные'!M9*100</f>
        <v>72</v>
      </c>
      <c r="O10" s="17">
        <f>'исх. данные'!N14/'исх. данные'!N9*100</f>
        <v>73</v>
      </c>
      <c r="P10" s="17">
        <f>'исх. данные'!O14/'исх. данные'!O9*100</f>
        <v>72</v>
      </c>
      <c r="Q10" s="17">
        <f>'исх. данные'!P14/'исх. данные'!P9*100</f>
        <v>73.999999999999986</v>
      </c>
      <c r="R10" s="17">
        <f>'исх. данные'!Q14/'исх. данные'!Q9*100</f>
        <v>75</v>
      </c>
    </row>
    <row r="11" spans="1:23" ht="72" x14ac:dyDescent="0.25">
      <c r="A11" s="8" t="s">
        <v>9</v>
      </c>
      <c r="B11" s="15" t="s">
        <v>2</v>
      </c>
      <c r="C11" s="16" t="s">
        <v>60</v>
      </c>
      <c r="D11" s="16" t="s">
        <v>143</v>
      </c>
      <c r="E11" s="17">
        <f>'исх. данные'!D15/'исх. данные'!D10*100</f>
        <v>47.81099839829151</v>
      </c>
      <c r="F11" s="17">
        <f>'исх. данные'!E15/'исх. данные'!E10*100</f>
        <v>43.402366863905321</v>
      </c>
      <c r="G11" s="17">
        <f>'исх. данные'!F15/'исх. данные'!F10*100</f>
        <v>51.166359729895639</v>
      </c>
      <c r="H11" s="17">
        <f>'исх. данные'!G15/'исх. данные'!G10*100</f>
        <v>57.869481765834927</v>
      </c>
      <c r="I11" s="43">
        <f>'исх. данные'!H15/'исх. данные'!H10*100</f>
        <v>61.055377207062598</v>
      </c>
      <c r="J11" s="17">
        <f>'исх. данные'!I15/'исх. данные'!I10*100</f>
        <v>57.701844031921745</v>
      </c>
      <c r="K11" s="17">
        <f>'исх. данные'!J15/'исх. данные'!J10*100</f>
        <v>59</v>
      </c>
      <c r="L11" s="54">
        <f>'исх. данные'!K15/'исх. данные'!K10*100</f>
        <v>62.703895605450008</v>
      </c>
      <c r="M11" s="17">
        <f>'исх. данные'!L15/'исх. данные'!L10*100</f>
        <v>64</v>
      </c>
      <c r="N11" s="17">
        <f>'исх. данные'!M15/'исх. данные'!M10*100</f>
        <v>65</v>
      </c>
      <c r="O11" s="17">
        <f>'исх. данные'!N15/'исх. данные'!N10*100</f>
        <v>66</v>
      </c>
      <c r="P11" s="17">
        <f>'исх. данные'!O15/'исх. данные'!O10*100</f>
        <v>65</v>
      </c>
      <c r="Q11" s="17">
        <f>'исх. данные'!P15/'исх. данные'!P10*100</f>
        <v>67</v>
      </c>
      <c r="R11" s="17">
        <f>'исх. данные'!Q15/'исх. данные'!Q10*100</f>
        <v>68</v>
      </c>
    </row>
    <row r="12" spans="1:23" ht="72" x14ac:dyDescent="0.25">
      <c r="A12" s="8" t="s">
        <v>10</v>
      </c>
      <c r="B12" s="15" t="s">
        <v>3</v>
      </c>
      <c r="C12" s="16" t="s">
        <v>60</v>
      </c>
      <c r="D12" s="16" t="s">
        <v>144</v>
      </c>
      <c r="E12" s="17">
        <f>'исх. данные'!D16/'исх. данные'!D11*100</f>
        <v>12.619502868068832</v>
      </c>
      <c r="F12" s="17">
        <f>'исх. данные'!E16/'исх. данные'!E11*100</f>
        <v>48.991935483870968</v>
      </c>
      <c r="G12" s="17">
        <v>71</v>
      </c>
      <c r="H12" s="17">
        <v>75</v>
      </c>
      <c r="I12" s="43">
        <f>'исх. данные'!H16/'исх. данные'!H11*100</f>
        <v>77.675739957716701</v>
      </c>
      <c r="J12" s="43">
        <f>'исх. данные'!I16/'исх. данные'!I11*100</f>
        <v>85.241907413853113</v>
      </c>
      <c r="K12" s="43">
        <f>'исх. данные'!J16/'исх. данные'!J11*100</f>
        <v>83</v>
      </c>
      <c r="L12" s="54">
        <f>'исх. данные'!K16/'исх. данные'!K11*100</f>
        <v>86.642408203771097</v>
      </c>
      <c r="M12" s="43">
        <f>'исх. данные'!L16/'исх. данные'!L11*100</f>
        <v>88.000000000000014</v>
      </c>
      <c r="N12" s="43">
        <f>'исх. данные'!M16/'исх. данные'!M11*100</f>
        <v>89.000000000000014</v>
      </c>
      <c r="O12" s="43">
        <f>'исх. данные'!N16/'исх. данные'!N11*100</f>
        <v>90.000000000000014</v>
      </c>
      <c r="P12" s="43">
        <f>'исх. данные'!O16/'исх. данные'!O11*100</f>
        <v>89</v>
      </c>
      <c r="Q12" s="43">
        <f>'исх. данные'!P16/'исх. данные'!P11*100</f>
        <v>91</v>
      </c>
      <c r="R12" s="43">
        <f>'исх. данные'!Q16/'исх. данные'!Q11*100</f>
        <v>92</v>
      </c>
    </row>
    <row r="13" spans="1:23" ht="78" customHeight="1" x14ac:dyDescent="0.25">
      <c r="A13" s="8" t="s">
        <v>11</v>
      </c>
      <c r="B13" s="15" t="s">
        <v>4</v>
      </c>
      <c r="C13" s="16" t="s">
        <v>60</v>
      </c>
      <c r="D13" s="16" t="s">
        <v>145</v>
      </c>
      <c r="E13" s="17">
        <f>'исх. данные'!D17/'исх. данные'!D12*100</f>
        <v>79.531812161235464</v>
      </c>
      <c r="F13" s="17">
        <f>'исх. данные'!E17/'исх. данные'!E12*100</f>
        <v>80.050297479254738</v>
      </c>
      <c r="G13" s="17">
        <v>73</v>
      </c>
      <c r="H13" s="17">
        <v>74</v>
      </c>
      <c r="I13" s="43">
        <f>'исх. данные'!H17/'исх. данные'!H12*100</f>
        <v>83.409195738816038</v>
      </c>
      <c r="J13" s="17">
        <f>'исх. данные'!I17/'исх. данные'!I12*100</f>
        <v>87.863238138454889</v>
      </c>
      <c r="K13" s="17">
        <f>'исх. данные'!J17/'исх. данные'!J12*100</f>
        <v>88.703755770705811</v>
      </c>
      <c r="L13" s="54">
        <f>'исх. данные'!K17/'исх. данные'!K12*100</f>
        <v>90.470160623380707</v>
      </c>
      <c r="M13" s="17">
        <f>'исх. данные'!L17/'исх. данные'!L12*100</f>
        <v>91</v>
      </c>
      <c r="N13" s="17">
        <f>'исх. данные'!M17/'исх. данные'!M12*100</f>
        <v>92</v>
      </c>
      <c r="O13" s="17">
        <f>'исх. данные'!N17/'исх. данные'!N12*100</f>
        <v>93</v>
      </c>
      <c r="P13" s="17">
        <f>'исх. данные'!O17/'исх. данные'!O12*100</f>
        <v>92</v>
      </c>
      <c r="Q13" s="17">
        <f>'исх. данные'!P17/'исх. данные'!P12*100</f>
        <v>94</v>
      </c>
      <c r="R13" s="17">
        <f>'исх. данные'!Q17/'исх. данные'!Q12*100</f>
        <v>95</v>
      </c>
    </row>
    <row r="14" spans="1:23" ht="95.25" customHeight="1" x14ac:dyDescent="0.25">
      <c r="A14" s="8" t="s">
        <v>12</v>
      </c>
      <c r="B14" s="15" t="s">
        <v>5</v>
      </c>
      <c r="C14" s="16" t="s">
        <v>60</v>
      </c>
      <c r="D14" s="16" t="s">
        <v>146</v>
      </c>
      <c r="E14" s="16">
        <f>'исх. данные'!D18/'исх. данные'!D19</f>
        <v>0</v>
      </c>
      <c r="F14" s="16">
        <f>'исх. данные'!E18/'исх. данные'!E19</f>
        <v>0</v>
      </c>
      <c r="G14" s="16">
        <f>'исх. данные'!F18/'исх. данные'!F19</f>
        <v>0</v>
      </c>
      <c r="H14" s="16">
        <f>'исх. данные'!G18/'исх. данные'!G19</f>
        <v>0</v>
      </c>
      <c r="I14" s="22">
        <f>'исх. данные'!H18/'исх. данные'!H19</f>
        <v>0</v>
      </c>
      <c r="J14" s="16">
        <f>'исх. данные'!I18/'исх. данные'!I19</f>
        <v>0</v>
      </c>
      <c r="K14" s="16">
        <f>'исх. данные'!J18/'исх. данные'!J19</f>
        <v>0</v>
      </c>
      <c r="L14" s="53">
        <f>'исх. данные'!K18/'исх. данные'!K19</f>
        <v>0</v>
      </c>
      <c r="M14" s="16">
        <f>'исх. данные'!L18/'исх. данные'!L19</f>
        <v>0</v>
      </c>
      <c r="N14" s="16">
        <f>'исх. данные'!M18/'исх. данные'!M19</f>
        <v>0</v>
      </c>
      <c r="O14" s="16">
        <f>'исх. данные'!N18/'исх. данные'!N19</f>
        <v>0</v>
      </c>
      <c r="P14" s="16">
        <f>'исх. данные'!O18/'исх. данные'!O19</f>
        <v>0</v>
      </c>
      <c r="Q14" s="16">
        <f>'исх. данные'!P18/'исх. данные'!P19</f>
        <v>0</v>
      </c>
      <c r="R14" s="16">
        <f>'исх. данные'!Q18/'исх. данные'!Q19</f>
        <v>0</v>
      </c>
    </row>
    <row r="15" spans="1:23" ht="24" customHeight="1" x14ac:dyDescent="0.25">
      <c r="A15" s="9">
        <v>2</v>
      </c>
      <c r="B15" s="89" t="s">
        <v>13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1"/>
      <c r="O15" s="68"/>
      <c r="P15" s="68"/>
      <c r="Q15" s="68"/>
      <c r="R15" s="68"/>
    </row>
    <row r="16" spans="1:23" ht="60" x14ac:dyDescent="0.25">
      <c r="A16" s="8" t="s">
        <v>38</v>
      </c>
      <c r="B16" s="15" t="s">
        <v>14</v>
      </c>
      <c r="C16" s="16" t="s">
        <v>63</v>
      </c>
      <c r="D16" s="16" t="s">
        <v>147</v>
      </c>
      <c r="E16" s="18">
        <f>'исх. данные'!D20/'исх. данные'!D25</f>
        <v>18.524503102324115</v>
      </c>
      <c r="F16" s="18">
        <f>'исх. данные'!E20/'исх. данные'!E25</f>
        <v>18.497754373475434</v>
      </c>
      <c r="G16" s="18">
        <f>'исх. данные'!F20/'исх. данные'!F25</f>
        <v>20.061683403249866</v>
      </c>
      <c r="H16" s="18">
        <v>28.72</v>
      </c>
      <c r="I16" s="44">
        <f>'исх. данные'!H20/'исх. данные'!H25</f>
        <v>23.842659709080763</v>
      </c>
      <c r="J16" s="44">
        <f>'исх. данные'!I20/'исх. данные'!I25</f>
        <v>23.119659781981976</v>
      </c>
      <c r="K16" s="44">
        <f>'исх. данные'!J20/'исх. данные'!J25</f>
        <v>23.020245244919455</v>
      </c>
      <c r="L16" s="55">
        <f>'исх. данные'!K20/'исх. данные'!K25</f>
        <v>23.194145022112441</v>
      </c>
      <c r="M16" s="44">
        <f>'исх. данные'!L20/'исх. данные'!L25</f>
        <v>23.008591861935543</v>
      </c>
      <c r="N16" s="44">
        <f>'исх. данные'!M20/'исх. данные'!M25</f>
        <v>22.870540310763928</v>
      </c>
      <c r="O16" s="44">
        <f>'исх. данные'!N20/'исх. данные'!N25</f>
        <v>22.733105923506891</v>
      </c>
      <c r="P16" s="44">
        <f>'исх. данные'!O20/'исх. данные'!O25</f>
        <v>22.59649741334438</v>
      </c>
      <c r="Q16" s="44">
        <f>'исх. данные'!P20/'исх. данные'!P25</f>
        <v>22.370324667195224</v>
      </c>
      <c r="R16" s="44">
        <f>'исх. данные'!Q20/'исх. данные'!Q25</f>
        <v>22.235896197644717</v>
      </c>
    </row>
    <row r="17" spans="1:18" ht="60" x14ac:dyDescent="0.25">
      <c r="A17" s="8" t="s">
        <v>39</v>
      </c>
      <c r="B17" s="15" t="s">
        <v>15</v>
      </c>
      <c r="C17" s="16" t="s">
        <v>64</v>
      </c>
      <c r="D17" s="16" t="s">
        <v>148</v>
      </c>
      <c r="E17" s="19">
        <f>'исх. данные'!D21/'исх. данные'!D25</f>
        <v>0.205373856346619</v>
      </c>
      <c r="F17" s="19">
        <f>'исх. данные'!E21/'исх. данные'!E25</f>
        <v>0.17073043059496015</v>
      </c>
      <c r="G17" s="19">
        <f>'исх. данные'!F21/'исх. данные'!F25</f>
        <v>0.18330813668265236</v>
      </c>
      <c r="H17" s="19">
        <f>'исх. данные'!G21/'исх. данные'!G25</f>
        <v>0.15564631194190168</v>
      </c>
      <c r="I17" s="45">
        <f>'исх. данные'!H21/'исх. данные'!H25</f>
        <v>0.1481993007251538</v>
      </c>
      <c r="J17" s="45">
        <f>'исх. данные'!I21/'исх. данные'!I25</f>
        <v>0.1758268736585599</v>
      </c>
      <c r="K17" s="45">
        <f>'исх. данные'!J21/'исх. данные'!J25</f>
        <v>0.17406860492197429</v>
      </c>
      <c r="L17" s="56">
        <f>'исх. данные'!K21/'исх. данные'!K25</f>
        <v>0.16674231753581573</v>
      </c>
      <c r="M17" s="45">
        <f>'исх. данные'!L21/'исх. данные'!L25</f>
        <v>0.16673841657018743</v>
      </c>
      <c r="N17" s="45">
        <f>'исх. данные'!M21/'исх. данные'!M25</f>
        <v>0.16640493973704706</v>
      </c>
      <c r="O17" s="45">
        <f>'исх. данные'!N21/'исх. данные'!N25</f>
        <v>0.16540497381501143</v>
      </c>
      <c r="P17" s="45">
        <f>'исх. данные'!O21/'исх. данные'!O25</f>
        <v>0.16374940318433626</v>
      </c>
      <c r="Q17" s="45">
        <f>'исх. данные'!P21/'исх. данные'!P25</f>
        <v>0.16292914290846222</v>
      </c>
      <c r="R17" s="45">
        <f>'исх. данные'!Q21/'исх. данные'!Q25</f>
        <v>0.16260177441726595</v>
      </c>
    </row>
    <row r="18" spans="1:18" ht="48" x14ac:dyDescent="0.25">
      <c r="A18" s="8" t="s">
        <v>40</v>
      </c>
      <c r="B18" s="15" t="s">
        <v>16</v>
      </c>
      <c r="C18" s="16" t="s">
        <v>65</v>
      </c>
      <c r="D18" s="16" t="s">
        <v>149</v>
      </c>
      <c r="E18" s="18">
        <f>'исх. данные'!D22/'исх. данные'!D26</f>
        <v>46.357388316151201</v>
      </c>
      <c r="F18" s="18">
        <f>'исх. данные'!E22/'исх. данные'!E26</f>
        <v>53.450133333333333</v>
      </c>
      <c r="G18" s="18">
        <f>'исх. данные'!F22/'исх. данные'!F26</f>
        <v>39.771526980482207</v>
      </c>
      <c r="H18" s="18">
        <f>'исх. данные'!G22/'исх. данные'!G26</f>
        <v>38.214963707426016</v>
      </c>
      <c r="I18" s="44">
        <f>'исх. данные'!H22/'исх. данные'!H26</f>
        <v>37.307084775086508</v>
      </c>
      <c r="J18" s="44">
        <f>'исх. данные'!I22/'исх. данные'!I26</f>
        <v>38.743821579264619</v>
      </c>
      <c r="K18" s="44">
        <f>'исх. данные'!J22/'исх. данные'!J26</f>
        <v>38.35638336347197</v>
      </c>
      <c r="L18" s="55">
        <f>'исх. данные'!K22/'исх. данные'!K26</f>
        <v>38.915576694411413</v>
      </c>
      <c r="M18" s="44">
        <f>'исх. данные'!L22/'исх. данные'!L26</f>
        <v>38.323185011709604</v>
      </c>
      <c r="N18" s="44">
        <f>'исх. данные'!M22/'исх. данные'!M26</f>
        <v>38.284861826697892</v>
      </c>
      <c r="O18" s="44">
        <f>'исх. данные'!N22/'исх. данные'!N26</f>
        <v>38.246576964871196</v>
      </c>
      <c r="P18" s="44">
        <f>'исх. данные'!O22/'исх. данные'!O26</f>
        <v>38.208330387906322</v>
      </c>
      <c r="Q18" s="44">
        <f>'исх. данные'!P22/'исх. данные'!P26</f>
        <v>38.170122057518419</v>
      </c>
      <c r="R18" s="44">
        <f>'исх. данные'!Q22/'исх. данные'!Q26</f>
        <v>34.353109851766575</v>
      </c>
    </row>
    <row r="19" spans="1:18" ht="48" x14ac:dyDescent="0.25">
      <c r="A19" s="8" t="s">
        <v>41</v>
      </c>
      <c r="B19" s="15" t="s">
        <v>17</v>
      </c>
      <c r="C19" s="16" t="s">
        <v>65</v>
      </c>
      <c r="D19" s="16" t="s">
        <v>150</v>
      </c>
      <c r="E19" s="19">
        <f>'исх. данные'!D23/'исх. данные'!D26</f>
        <v>0.50711831124202256</v>
      </c>
      <c r="F19" s="19">
        <f>'исх. данные'!E23/'исх. данные'!E26</f>
        <v>0.43359999999999999</v>
      </c>
      <c r="G19" s="19">
        <f>'исх. данные'!F23/'исх. данные'!F26</f>
        <v>0.51033295063145812</v>
      </c>
      <c r="H19" s="19">
        <v>0.55600000000000005</v>
      </c>
      <c r="I19" s="45">
        <f>'исх. данные'!H23/'исх. данные'!H26</f>
        <v>1.2427831603229527</v>
      </c>
      <c r="J19" s="45">
        <f>'исх. данные'!I23/'исх. данные'!I26</f>
        <v>1.2470343580470162</v>
      </c>
      <c r="K19" s="45">
        <f>'исх. данные'!J23/'исх. данные'!J26</f>
        <v>1.2445402893309223</v>
      </c>
      <c r="L19" s="56">
        <f>'исх. данные'!K23/'исх. данные'!K26</f>
        <v>1.379678953626635</v>
      </c>
      <c r="M19" s="58">
        <f>'исх. данные'!L23/'исх. данные'!L26</f>
        <v>1.2431892857142857</v>
      </c>
      <c r="N19" s="58">
        <f>'исх. данные'!M23/'исх. данные'!M26</f>
        <v>1.2407029071428572</v>
      </c>
      <c r="O19" s="58">
        <f>'исх. данные'!N23/'исх. данные'!N26</f>
        <v>1.2382215013285716</v>
      </c>
      <c r="P19" s="58">
        <f>'исх. данные'!O23/'исх. данные'!O26</f>
        <v>1.2357450583259142</v>
      </c>
      <c r="Q19" s="58">
        <f>'исх. данные'!P23/'исх. данные'!P26</f>
        <v>1.2332735682092626</v>
      </c>
      <c r="R19" s="58">
        <f>'исх. данные'!Q23/'исх. данные'!Q26</f>
        <v>1.2330269134956207</v>
      </c>
    </row>
    <row r="20" spans="1:18" ht="62.25" customHeight="1" x14ac:dyDescent="0.25">
      <c r="A20" s="8" t="s">
        <v>42</v>
      </c>
      <c r="B20" s="15" t="s">
        <v>18</v>
      </c>
      <c r="C20" s="16" t="s">
        <v>65</v>
      </c>
      <c r="D20" s="16" t="s">
        <v>151</v>
      </c>
      <c r="E20" s="18">
        <f>'исх. данные'!D24/'исх. данные'!D26</f>
        <v>67.599410898379972</v>
      </c>
      <c r="F20" s="18">
        <f>'исх. данные'!E24/'исх. данные'!E26</f>
        <v>96.533333333333331</v>
      </c>
      <c r="G20" s="18">
        <f>'исх. данные'!F24/'исх. данные'!F26</f>
        <v>72.330654420206656</v>
      </c>
      <c r="H20" s="18">
        <f>'исх. данные'!G24/'исх. данные'!G26</f>
        <v>57.788944723618087</v>
      </c>
      <c r="I20" s="44">
        <f>'исх. данные'!H24/'исх. данные'!H26</f>
        <v>44.634948096885815</v>
      </c>
      <c r="J20" s="44">
        <f>'исх. данные'!I24/'исх. данные'!I26</f>
        <v>45.821579264617242</v>
      </c>
      <c r="K20" s="44">
        <f>'исх. данные'!J24/'исх. данные'!J26</f>
        <v>45.363363471971063</v>
      </c>
      <c r="L20" s="55">
        <f>'исх. данные'!K24/'исх. данные'!K26</f>
        <v>50.323424494649224</v>
      </c>
      <c r="M20" s="44">
        <f>'исх. данные'!L24/'исх. данные'!L26</f>
        <v>45.345000000000006</v>
      </c>
      <c r="N20" s="44">
        <f>'исх. данные'!M24/'исх. данные'!M26</f>
        <v>45.299655000000008</v>
      </c>
      <c r="O20" s="44">
        <f>'исх. данные'!N24/'исх. данные'!N26</f>
        <v>45.254355345000008</v>
      </c>
      <c r="P20" s="44">
        <f>'исх. данные'!O24/'исх. данные'!O26</f>
        <v>45.209100989655006</v>
      </c>
      <c r="Q20" s="44">
        <f>'исх. данные'!P24/'исх. данные'!P26</f>
        <v>45.163891888665354</v>
      </c>
      <c r="R20" s="44">
        <f>'исх. данные'!Q24/'исх. данные'!Q26</f>
        <v>45.118727996776691</v>
      </c>
    </row>
    <row r="21" spans="1:18" ht="120" x14ac:dyDescent="0.25">
      <c r="A21" s="8" t="s">
        <v>43</v>
      </c>
      <c r="B21" s="15" t="s">
        <v>19</v>
      </c>
      <c r="C21" s="16" t="s">
        <v>60</v>
      </c>
      <c r="D21" s="16" t="s">
        <v>152</v>
      </c>
      <c r="E21" s="17">
        <f>'исх. данные'!D27/'исх. данные'!D28*100</f>
        <v>1700.8803521408563</v>
      </c>
      <c r="F21" s="16">
        <f>'исх. данные'!E27/'исх. данные'!E28</f>
        <v>0</v>
      </c>
      <c r="G21" s="16">
        <f>'исх. данные'!F27/'исх. данные'!F28</f>
        <v>0</v>
      </c>
      <c r="H21" s="16">
        <f>'исх. данные'!G27/'исх. данные'!G28</f>
        <v>0</v>
      </c>
      <c r="I21" s="22">
        <v>0</v>
      </c>
      <c r="J21" s="16">
        <v>0</v>
      </c>
      <c r="K21" s="16">
        <v>0</v>
      </c>
      <c r="L21" s="53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1:18" ht="48" x14ac:dyDescent="0.25">
      <c r="A22" s="8" t="s">
        <v>44</v>
      </c>
      <c r="B22" s="15" t="s">
        <v>20</v>
      </c>
      <c r="C22" s="16" t="s">
        <v>62</v>
      </c>
      <c r="D22" s="16" t="s">
        <v>153</v>
      </c>
      <c r="E22" s="16">
        <v>1</v>
      </c>
      <c r="F22" s="16">
        <v>0</v>
      </c>
      <c r="G22" s="16">
        <v>0</v>
      </c>
      <c r="H22" s="16">
        <v>0</v>
      </c>
      <c r="I22" s="22">
        <v>0</v>
      </c>
      <c r="J22" s="16">
        <v>0</v>
      </c>
      <c r="K22" s="16">
        <v>0</v>
      </c>
      <c r="L22" s="53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</row>
    <row r="23" spans="1:18" ht="24" customHeight="1" x14ac:dyDescent="0.25">
      <c r="A23" s="9">
        <v>3</v>
      </c>
      <c r="B23" s="89" t="s">
        <v>21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1"/>
      <c r="O23" s="68"/>
      <c r="P23" s="68"/>
      <c r="Q23" s="68"/>
      <c r="R23" s="68"/>
    </row>
    <row r="24" spans="1:18" ht="36" x14ac:dyDescent="0.25">
      <c r="A24" s="9" t="s">
        <v>45</v>
      </c>
      <c r="B24" s="15" t="s">
        <v>22</v>
      </c>
      <c r="C24" s="16" t="s">
        <v>64</v>
      </c>
      <c r="D24" s="16" t="s">
        <v>154</v>
      </c>
      <c r="E24" s="19">
        <f>'исх. данные'!D29/'исх. данные'!D33</f>
        <v>0.12587085811384877</v>
      </c>
      <c r="F24" s="19">
        <f>'исх. данные'!E29/'исх. данные'!E33</f>
        <v>9.5569791666666667E-2</v>
      </c>
      <c r="G24" s="19">
        <f>'исх. данные'!F29/'исх. данные'!F33</f>
        <v>8.0790834431714489E-2</v>
      </c>
      <c r="H24" s="19">
        <f>'исх. данные'!G29/'исх. данные'!G33</f>
        <v>0.10862989146669322</v>
      </c>
      <c r="I24" s="45">
        <f>'исх. данные'!H29/'исх. данные'!H33</f>
        <v>0.1078774560519708</v>
      </c>
      <c r="J24" s="19">
        <f>'исх. данные'!I29/'исх. данные'!I33</f>
        <v>0.112448861218821</v>
      </c>
      <c r="K24" s="19">
        <f>'исх. данные'!J29/'исх. данные'!J33</f>
        <v>0.11032782790736993</v>
      </c>
      <c r="L24" s="56">
        <f>'исх. данные'!K29/'исх. данные'!K33</f>
        <v>0.11524087770736782</v>
      </c>
      <c r="M24" s="59">
        <f>'исх. данные'!L29/'исх. данные'!L33</f>
        <v>0.10969747050548626</v>
      </c>
      <c r="N24" s="45">
        <f>'исх. данные'!M29/'исх. данные'!M33</f>
        <v>0.10769153601041569</v>
      </c>
      <c r="O24" s="45">
        <f>'исх. данные'!N29/'исх. данные'!N33</f>
        <v>0.10572968881792862</v>
      </c>
      <c r="P24" s="45">
        <f>'исх. данные'!O29/'исх. данные'!O33</f>
        <v>0.10381073316512138</v>
      </c>
      <c r="Q24" s="45">
        <f>'исх. данные'!P29/'исх. данные'!P33</f>
        <v>0.10193351340264259</v>
      </c>
      <c r="R24" s="45">
        <f>'исх. данные'!Q29/'исх. данные'!Q33</f>
        <v>0.10009691235984486</v>
      </c>
    </row>
    <row r="25" spans="1:18" ht="36" x14ac:dyDescent="0.25">
      <c r="A25" s="9" t="s">
        <v>46</v>
      </c>
      <c r="B25" s="15" t="s">
        <v>23</v>
      </c>
      <c r="C25" s="16" t="s">
        <v>65</v>
      </c>
      <c r="D25" s="16" t="s">
        <v>156</v>
      </c>
      <c r="E25" s="19">
        <f>'исх. данные'!D30/'исх. данные'!D34</f>
        <v>54.953861788617886</v>
      </c>
      <c r="F25" s="19">
        <f>'исх. данные'!E30/'исх. данные'!E34</f>
        <v>60.960095448926197</v>
      </c>
      <c r="G25" s="19">
        <f>'исх. данные'!F30/'исх. данные'!F34</f>
        <v>39.612311909316738</v>
      </c>
      <c r="H25" s="19">
        <f>'исх. данные'!G30/'исх. данные'!G34</f>
        <v>35.49964552080084</v>
      </c>
      <c r="I25" s="45">
        <f>'исх. данные'!H30/'исх. данные'!H34</f>
        <v>40.361366659277323</v>
      </c>
      <c r="J25" s="19">
        <f>'исх. данные'!I30/'исх. данные'!I34</f>
        <v>45.553459639833427</v>
      </c>
      <c r="K25" s="19">
        <f>'исх. данные'!J30/'исх. данные'!J34</f>
        <v>44.949172919930731</v>
      </c>
      <c r="L25" s="56">
        <f>'исх. данные'!K30/'исх. данные'!K34</f>
        <v>41.023408342480792</v>
      </c>
      <c r="M25" s="19">
        <f>'исх. данные'!L30/'исх. данные'!L34</f>
        <v>40.888758205689278</v>
      </c>
      <c r="N25" s="19">
        <f>'исх. данные'!M30/'исх. данные'!M34</f>
        <v>40.347439203925845</v>
      </c>
      <c r="O25" s="19">
        <f>'исх. данные'!N30/'исх. данные'!N34</f>
        <v>39.813712752717393</v>
      </c>
      <c r="P25" s="19">
        <f>'исх. данные'!O30/'исх. данные'!O34</f>
        <v>39.28746432846696</v>
      </c>
      <c r="Q25" s="19">
        <f>'исх. данные'!P30/'исх. данные'!P34</f>
        <v>38.768581295273492</v>
      </c>
      <c r="R25" s="19">
        <f>'исх. данные'!Q30/'исх. данные'!Q34</f>
        <v>38.256952870429515</v>
      </c>
    </row>
    <row r="26" spans="1:18" ht="36" x14ac:dyDescent="0.25">
      <c r="A26" s="9" t="s">
        <v>47</v>
      </c>
      <c r="B26" s="15" t="s">
        <v>24</v>
      </c>
      <c r="C26" s="16" t="s">
        <v>65</v>
      </c>
      <c r="D26" s="16" t="s">
        <v>157</v>
      </c>
      <c r="E26" s="19">
        <f>'исх. данные'!D31/'исх. данные'!D34</f>
        <v>9.4599303135888508</v>
      </c>
      <c r="F26" s="19">
        <f>'исх. данные'!E31/'исх. данные'!E34</f>
        <v>8.800275996895035</v>
      </c>
      <c r="G26" s="19">
        <f>'исх. данные'!F31/'исх. данные'!F34</f>
        <v>7.9976015761071295</v>
      </c>
      <c r="H26" s="19">
        <f>'исх. данные'!G31/'исх. данные'!G34</f>
        <v>6.5008082125740865</v>
      </c>
      <c r="I26" s="45">
        <f>'исх. данные'!H31/'исх. данные'!H34</f>
        <v>8.388383950343604</v>
      </c>
      <c r="J26" s="19">
        <f>'исх. данные'!I31/'исх. данные'!I34</f>
        <v>6.6437219050770802</v>
      </c>
      <c r="K26" s="19">
        <f>'исх. данные'!J31/'исх. данные'!J34</f>
        <v>6.5555900057722436</v>
      </c>
      <c r="L26" s="56">
        <f>'исх. данные'!K31/'исх. данные'!K34</f>
        <v>6.4973929747530184</v>
      </c>
      <c r="M26" s="19">
        <f>'исх. данные'!L31/'исх. данные'!L34</f>
        <v>6.4760667396061269</v>
      </c>
      <c r="N26" s="19">
        <f>'исх. данные'!M31/'исх. данные'!M34</f>
        <v>6.3903312431842965</v>
      </c>
      <c r="O26" s="19">
        <f>'исх. данные'!N31/'исх. данные'!N34</f>
        <v>6.3057982744565217</v>
      </c>
      <c r="P26" s="19">
        <f>'исх. данные'!O31/'исх. данные'!O34</f>
        <v>6.2224496948808241</v>
      </c>
      <c r="Q26" s="19">
        <f>'исх. данные'!P31/'исх. данные'!P34</f>
        <v>6.1402676648933587</v>
      </c>
      <c r="R26" s="19">
        <f>'исх. данные'!Q31/'исх. данные'!Q34</f>
        <v>6.0592346384438507</v>
      </c>
    </row>
    <row r="27" spans="1:18" ht="36" x14ac:dyDescent="0.25">
      <c r="A27" s="9" t="s">
        <v>48</v>
      </c>
      <c r="B27" s="15" t="s">
        <v>25</v>
      </c>
      <c r="C27" s="16" t="s">
        <v>63</v>
      </c>
      <c r="D27" s="16" t="s">
        <v>155</v>
      </c>
      <c r="E27" s="19">
        <f>'исх. данные'!D32/'исх. данные'!D33</f>
        <v>18.707837723024639</v>
      </c>
      <c r="F27" s="19">
        <f>'исх. данные'!E32/'исх. данные'!E33</f>
        <v>18.492812499999999</v>
      </c>
      <c r="G27" s="19">
        <f>'исх. данные'!F32/'исх. данные'!F33</f>
        <v>19.645848119233499</v>
      </c>
      <c r="H27" s="19">
        <f>'исх. данные'!G32/'исх. данные'!G33</f>
        <v>16.786304888977398</v>
      </c>
      <c r="I27" s="45">
        <f>'исх. данные'!H32/'исх. данные'!H33</f>
        <v>17.151548319688938</v>
      </c>
      <c r="J27" s="19">
        <f>'исх. данные'!I32/'исх. данные'!I33</f>
        <v>16.110221333782906</v>
      </c>
      <c r="K27" s="19">
        <f>'исх. данные'!J32/'исх. данные'!J33</f>
        <v>15.806347059437796</v>
      </c>
      <c r="L27" s="56">
        <f>'исх. данные'!K32/'исх. данные'!K33</f>
        <v>14.011160503168448</v>
      </c>
      <c r="M27" s="19">
        <f>'исх. данные'!L32/'исх. данные'!L33</f>
        <v>13.892900684610336</v>
      </c>
      <c r="N27" s="19">
        <f>'исх. данные'!M32/'исх. данные'!M33</f>
        <v>13.638854273226077</v>
      </c>
      <c r="O27" s="19">
        <f>'исх. данные'!N32/'исх. данные'!N33</f>
        <v>13.390391404592826</v>
      </c>
      <c r="P27" s="19">
        <f>'исх. данные'!O32/'исх. данные'!O33</f>
        <v>13.147360638434099</v>
      </c>
      <c r="Q27" s="19">
        <f>'исх. данные'!P32/'исх. данные'!P33</f>
        <v>12.909615614750974</v>
      </c>
      <c r="R27" s="19">
        <f>'исх. данные'!Q32/'исх. данные'!Q33</f>
        <v>12.677014846772789</v>
      </c>
    </row>
    <row r="28" spans="1:18" ht="60" x14ac:dyDescent="0.25">
      <c r="A28" s="9" t="s">
        <v>49</v>
      </c>
      <c r="B28" s="15" t="s">
        <v>26</v>
      </c>
      <c r="C28" s="16" t="s">
        <v>171</v>
      </c>
      <c r="D28" s="16" t="s">
        <v>158</v>
      </c>
      <c r="E28" s="19">
        <f>'исх. данные'!D35/'исх. данные'!D36</f>
        <v>1.3661087866108786E-2</v>
      </c>
      <c r="F28" s="19">
        <f>'исх. данные'!E35/'исх. данные'!E36</f>
        <v>1.29E-2</v>
      </c>
      <c r="G28" s="19">
        <f>'исх. данные'!F35/'исх. данные'!F36</f>
        <v>1.2339413164155433E-2</v>
      </c>
      <c r="H28" s="19">
        <f>'исх. данные'!G35/'исх. данные'!G36</f>
        <v>1.9709908878813225E-2</v>
      </c>
      <c r="I28" s="45">
        <f>'исх. данные'!H35/'исх. данные'!H36</f>
        <v>2.1615536182315001E-2</v>
      </c>
      <c r="J28" s="19">
        <f>'исх. данные'!I35/'исх. данные'!I36</f>
        <v>1.7947091461492495E-2</v>
      </c>
      <c r="K28" s="19">
        <f>'исх. данные'!J35/'исх. данные'!J36</f>
        <v>1.7726604940100605E-2</v>
      </c>
      <c r="L28" s="56">
        <f>'исх. данные'!K35/'исх. данные'!K36</f>
        <v>1.6632433364374977E-2</v>
      </c>
      <c r="M28" s="19">
        <f>'исх. данные'!L35/'исх. данные'!L36</f>
        <v>1.6129328213468221E-2</v>
      </c>
      <c r="N28" s="19">
        <f>'исх. данные'!M35/'исх. данные'!M36</f>
        <v>1.5647987135810996E-2</v>
      </c>
      <c r="O28" s="19">
        <f>'исх. данные'!N35/'исх. данные'!N36</f>
        <v>1.5187111539526052E-2</v>
      </c>
      <c r="P28" s="19">
        <f>'исх. данные'!O35/'исх. данные'!O36</f>
        <v>1.4745503084554216E-2</v>
      </c>
      <c r="Q28" s="19">
        <f>'исх. данные'!P35/'исх. данные'!P36</f>
        <v>1.4322054204235751E-2</v>
      </c>
      <c r="R28" s="19">
        <f>'исх. данные'!Q35/'исх. данные'!Q36</f>
        <v>1.391573968216178E-2</v>
      </c>
    </row>
    <row r="29" spans="1:18" ht="48" x14ac:dyDescent="0.25">
      <c r="A29" s="9" t="s">
        <v>50</v>
      </c>
      <c r="B29" s="15" t="s">
        <v>27</v>
      </c>
      <c r="C29" s="16" t="s">
        <v>66</v>
      </c>
      <c r="D29" s="16" t="s">
        <v>159</v>
      </c>
      <c r="E29" s="19">
        <f>'исх. данные'!D37/'исх. данные'!D38</f>
        <v>0.33477145874189168</v>
      </c>
      <c r="F29" s="19">
        <f>'исх. данные'!E37/'исх. данные'!E38</f>
        <v>0.33061531517978038</v>
      </c>
      <c r="G29" s="19">
        <f>'исх. данные'!F37/'исх. данные'!F38</f>
        <v>0.25377443609022554</v>
      </c>
      <c r="H29" s="19">
        <f>'исх. данные'!G37/'исх. данные'!G38</f>
        <v>0.17792072095605041</v>
      </c>
      <c r="I29" s="45">
        <f>'исх. данные'!H37/'исх. данные'!H38</f>
        <v>0.16674547456364755</v>
      </c>
      <c r="J29" s="19">
        <f>'исх. данные'!I37/'исх. данные'!I38</f>
        <v>0.16644710071210581</v>
      </c>
      <c r="K29" s="19">
        <f>'исх. данные'!J37/'исх. данные'!J38</f>
        <v>0.16446891737530142</v>
      </c>
      <c r="L29" s="56">
        <f>'исх. данные'!K37/'исх. данные'!K38</f>
        <v>0.15207747145290518</v>
      </c>
      <c r="M29" s="19">
        <f>'исх. данные'!L37/'исх. данные'!L38</f>
        <v>0.15027228763931744</v>
      </c>
      <c r="N29" s="19">
        <f>'исх. данные'!M37/'исх. данные'!M38</f>
        <v>0.14848906152975927</v>
      </c>
      <c r="O29" s="19">
        <f>'исх. данные'!N37/'исх. данные'!N38</f>
        <v>0.1467275179361395</v>
      </c>
      <c r="P29" s="19">
        <f>'исх. данные'!O37/'исх. данные'!O38</f>
        <v>0.14498738524737337</v>
      </c>
      <c r="Q29" s="19">
        <f>'исх. данные'!P37/'исх. данные'!P38</f>
        <v>0.14326839538078509</v>
      </c>
      <c r="R29" s="19">
        <f>'исх. данные'!Q37/'исх. данные'!Q38</f>
        <v>0.14157028373420638</v>
      </c>
    </row>
    <row r="30" spans="1:18" ht="36" x14ac:dyDescent="0.25">
      <c r="A30" s="9" t="s">
        <v>51</v>
      </c>
      <c r="B30" s="15" t="s">
        <v>28</v>
      </c>
      <c r="C30" s="16" t="s">
        <v>172</v>
      </c>
      <c r="D30" s="16" t="s">
        <v>160</v>
      </c>
      <c r="E30" s="20">
        <f>'исх. данные'!D39/'исх. данные'!D33</f>
        <v>2.3190533609515722E-3</v>
      </c>
      <c r="F30" s="20">
        <f>'исх. данные'!E39/'исх. данные'!E33</f>
        <v>2.2882779853666668E-3</v>
      </c>
      <c r="G30" s="20">
        <f>'исх. данные'!F39/'исх. данные'!F33</f>
        <v>2.4279877607056681E-3</v>
      </c>
      <c r="H30" s="20">
        <f>'исх. данные'!G39/'исх. данные'!G33</f>
        <v>2.0802360392711346E-3</v>
      </c>
      <c r="I30" s="46">
        <f>'исх. данные'!H39/'исх. данные'!H33</f>
        <v>2.1250539530379988E-3</v>
      </c>
      <c r="J30" s="20">
        <f>'исх. данные'!I39/'исх. данные'!I33</f>
        <v>1.9976240638807674E-3</v>
      </c>
      <c r="K30" s="20">
        <f>'исх. данные'!J39/'исх. данные'!J33</f>
        <v>1.9599445350396735E-3</v>
      </c>
      <c r="L30" s="57">
        <f>'исх. данные'!K39/'исх. данные'!K33</f>
        <v>1.7393360446420127E-3</v>
      </c>
      <c r="M30" s="20">
        <f>'исх. данные'!L39/'исх. данные'!L33</f>
        <v>1.7244996084718584E-3</v>
      </c>
      <c r="N30" s="20">
        <f>'исх. данные'!M39/'исх. данные'!M33</f>
        <v>1.6929653056713539E-3</v>
      </c>
      <c r="O30" s="20">
        <f>'исх. данные'!N39/'исх. данные'!N33</f>
        <v>1.6621240775214635E-3</v>
      </c>
      <c r="P30" s="20">
        <f>'исх. данные'!O39/'исх. данные'!O33</f>
        <v>1.6319571260257548E-3</v>
      </c>
      <c r="Q30" s="20">
        <f>'исх. данные'!P39/'исх. данные'!P33</f>
        <v>1.6024462837930854E-3</v>
      </c>
      <c r="R30" s="20">
        <f>'исх. данные'!Q39/'исх. данные'!Q33</f>
        <v>1.573573988336963E-3</v>
      </c>
    </row>
    <row r="31" spans="1:18" ht="20.25" customHeight="1" x14ac:dyDescent="0.25">
      <c r="A31" s="8">
        <v>4</v>
      </c>
      <c r="B31" s="89" t="s">
        <v>29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1"/>
      <c r="O31" s="68"/>
      <c r="P31" s="68"/>
      <c r="Q31" s="68"/>
      <c r="R31" s="68"/>
    </row>
    <row r="32" spans="1:18" ht="42" customHeight="1" x14ac:dyDescent="0.25">
      <c r="A32" s="8" t="s">
        <v>52</v>
      </c>
      <c r="B32" s="15" t="s">
        <v>30</v>
      </c>
      <c r="C32" s="16" t="s">
        <v>67</v>
      </c>
      <c r="D32" s="16" t="s">
        <v>161</v>
      </c>
      <c r="E32" s="17">
        <f>'исх. данные'!D40/'исх. данные'!D41</f>
        <v>159759.82532751092</v>
      </c>
      <c r="F32" s="17">
        <f>'исх. данные'!E40/'исх. данные'!E41</f>
        <v>165245.45454545456</v>
      </c>
      <c r="G32" s="17">
        <f>'исх. данные'!F40/'исх. данные'!F41</f>
        <v>174538.81278538812</v>
      </c>
      <c r="H32" s="17">
        <f>'исх. данные'!G40/'исх. данные'!G41</f>
        <v>161531.57894736843</v>
      </c>
      <c r="I32" s="43">
        <f>'исх. данные'!H40/'исх. данные'!H41</f>
        <v>171290.64039408867</v>
      </c>
      <c r="J32" s="43">
        <f>'исх. данные'!I40/'исх. данные'!I41</f>
        <v>169431.37254901961</v>
      </c>
      <c r="K32" s="43">
        <f>'исх. данные'!J40/'исх. данные'!J41</f>
        <v>168800.50198604146</v>
      </c>
      <c r="L32" s="54">
        <f>'исх. данные'!K40/'исх. данные'!K41</f>
        <v>171781.99052132701</v>
      </c>
      <c r="M32" s="43">
        <f>'исх. данные'!L40/'исх. данные'!L41</f>
        <v>167684.94596526842</v>
      </c>
      <c r="N32" s="43">
        <f>'исх. данные'!M40/'исх. данные'!M41</f>
        <v>167060.57814794782</v>
      </c>
      <c r="O32" s="43">
        <f>'исх. данные'!N40/'исх. данные'!N41</f>
        <v>166438.53513783673</v>
      </c>
      <c r="P32" s="43">
        <f>'исх. данные'!O40/'исх. данные'!O41</f>
        <v>165818.80827861361</v>
      </c>
      <c r="Q32" s="43">
        <f>'исх. данные'!P40/'исх. данные'!P41</f>
        <v>165201.38894618844</v>
      </c>
      <c r="R32" s="43">
        <f>'исх. данные'!Q40/'исх. данные'!Q41</f>
        <v>164586.26854858265</v>
      </c>
    </row>
    <row r="33" spans="1:18" ht="38.25" customHeight="1" x14ac:dyDescent="0.25">
      <c r="A33" s="8" t="s">
        <v>53</v>
      </c>
      <c r="B33" s="15" t="s">
        <v>31</v>
      </c>
      <c r="C33" s="16" t="s">
        <v>68</v>
      </c>
      <c r="D33" s="16" t="s">
        <v>162</v>
      </c>
      <c r="E33" s="20">
        <f>'исх. данные'!D42/'исх. данные'!D43</f>
        <v>0.16597409277331854</v>
      </c>
      <c r="F33" s="20">
        <f>'исх. данные'!E42/'исх. данные'!E43</f>
        <v>0.16551016968198673</v>
      </c>
      <c r="G33" s="20">
        <f>'исх. данные'!F42/'исх. данные'!F43</f>
        <v>0.16492861237749448</v>
      </c>
      <c r="H33" s="20">
        <f>'исх. данные'!G42/'исх. данные'!G43</f>
        <v>0.16707806491696472</v>
      </c>
      <c r="I33" s="46">
        <f>'исх. данные'!H42/'исх. данные'!H43</f>
        <v>0.16424941774295998</v>
      </c>
      <c r="J33" s="46">
        <f>'исх. данные'!I42/'исх. данные'!I43</f>
        <v>0.1626010905486901</v>
      </c>
      <c r="K33" s="46">
        <f>'исх. данные'!J42/'исх. данные'!J43</f>
        <v>0.16250000000000001</v>
      </c>
      <c r="L33" s="57">
        <f>'исх. данные'!K42/'исх. данные'!K43</f>
        <v>0.16302138943514163</v>
      </c>
      <c r="M33" s="46">
        <f>'исх. данные'!L42/'исх. данные'!L43</f>
        <v>0.16239999999999999</v>
      </c>
      <c r="N33" s="46">
        <f>'исх. данные'!M42/'исх. данные'!M43</f>
        <v>0.1623</v>
      </c>
      <c r="O33" s="46">
        <f>'исх. данные'!N42/'исх. данные'!N43</f>
        <v>0.1623</v>
      </c>
      <c r="P33" s="46">
        <f>'исх. данные'!O42/'исх. данные'!O43</f>
        <v>0.1623</v>
      </c>
      <c r="Q33" s="46">
        <f>'исх. данные'!P42/'исх. данные'!P43</f>
        <v>0.1623</v>
      </c>
      <c r="R33" s="46">
        <f>'исх. данные'!Q42/'исх. данные'!Q43</f>
        <v>0.1623</v>
      </c>
    </row>
    <row r="34" spans="1:18" ht="36" x14ac:dyDescent="0.25">
      <c r="A34" s="8" t="s">
        <v>54</v>
      </c>
      <c r="B34" s="15" t="s">
        <v>32</v>
      </c>
      <c r="C34" s="16" t="s">
        <v>173</v>
      </c>
      <c r="D34" s="16" t="s">
        <v>163</v>
      </c>
      <c r="E34" s="19">
        <f>'исх. данные'!D44/'исх. данные'!D45</f>
        <v>0.35283146829433704</v>
      </c>
      <c r="F34" s="19">
        <f>'исх. данные'!E44/'исх. данные'!E45</f>
        <v>0.32529575766709368</v>
      </c>
      <c r="G34" s="19">
        <f>'исх. данные'!F44/'исх. данные'!F45</f>
        <v>0.33569722845357841</v>
      </c>
      <c r="H34" s="19">
        <f>'исх. данные'!G44/'исх. данные'!G45</f>
        <v>0.4990419787493468</v>
      </c>
      <c r="I34" s="45">
        <f>'исх. данные'!H44/'исх. данные'!H45</f>
        <v>0.47640947546531304</v>
      </c>
      <c r="J34" s="19">
        <f>'исх. данные'!I44/'исх. данные'!I45</f>
        <v>0.47803852912742079</v>
      </c>
      <c r="K34" s="19">
        <f>'исх. данные'!J44/'исх. данные'!J45</f>
        <v>0.47499999999999998</v>
      </c>
      <c r="L34" s="56">
        <f>'исх. данные'!K44/'исх. данные'!K45</f>
        <v>0.41229154705360405</v>
      </c>
      <c r="M34" s="19">
        <f>'исх. данные'!L44/'исх. данные'!L45</f>
        <v>0.47399999999999992</v>
      </c>
      <c r="N34" s="19">
        <f>'исх. данные'!M44/'исх. данные'!M45</f>
        <v>0.47299999999999992</v>
      </c>
      <c r="O34" s="19">
        <f>'исх. данные'!N44/'исх. данные'!N45</f>
        <v>0.47200000000000003</v>
      </c>
      <c r="P34" s="19">
        <f>'исх. данные'!O44/'исх. данные'!O45</f>
        <v>0.47099999999999997</v>
      </c>
      <c r="Q34" s="19">
        <f>'исх. данные'!P44/'исх. данные'!P45</f>
        <v>0.47</v>
      </c>
      <c r="R34" s="19">
        <f>'исх. данные'!Q44/'исх. данные'!Q45</f>
        <v>0.46900000000000003</v>
      </c>
    </row>
    <row r="35" spans="1:18" ht="36" x14ac:dyDescent="0.25">
      <c r="A35" s="8" t="s">
        <v>55</v>
      </c>
      <c r="B35" s="15" t="s">
        <v>33</v>
      </c>
      <c r="C35" s="16" t="s">
        <v>60</v>
      </c>
      <c r="D35" s="16" t="s">
        <v>164</v>
      </c>
      <c r="E35" s="18">
        <f>'исх. данные'!D46/'исх. данные'!D47*100</f>
        <v>4.445450671212444</v>
      </c>
      <c r="F35" s="18">
        <f>'исх. данные'!E46/'исх. данные'!E47*100</f>
        <v>4.4766220049816337</v>
      </c>
      <c r="G35" s="18">
        <f>'исх. данные'!F46/'исх. данные'!F47*100</f>
        <v>4.3986989909906171</v>
      </c>
      <c r="H35" s="18">
        <f>'исх. данные'!G46/'исх. данные'!G47*100</f>
        <v>9.7005351352776277</v>
      </c>
      <c r="I35" s="44">
        <f>'исх. данные'!H46/'исх. данные'!H47*100</f>
        <v>14.621335116034761</v>
      </c>
      <c r="J35" s="18">
        <f>'исх. данные'!I46/'исх. данные'!I47*100</f>
        <v>14.58495978385081</v>
      </c>
      <c r="K35" s="18">
        <f>'исх. данные'!J46/'исх. данные'!J47*100</f>
        <v>14.56</v>
      </c>
      <c r="L35" s="55">
        <f>'исх. данные'!K46/'исх. данные'!K47*100</f>
        <v>18.445867484922218</v>
      </c>
      <c r="M35" s="44">
        <f>'исх. данные'!L46/'исх. данные'!L47*100</f>
        <v>14.539999999999997</v>
      </c>
      <c r="N35" s="44">
        <f>'исх. данные'!M46/'исх. данные'!M47*100</f>
        <v>14.530000000000001</v>
      </c>
      <c r="O35" s="44">
        <f>'исх. данные'!N46/'исх. данные'!N47*100</f>
        <v>14.52</v>
      </c>
      <c r="P35" s="44">
        <f>'исх. данные'!O46/'исх. данные'!O47*100</f>
        <v>14.510000000000002</v>
      </c>
      <c r="Q35" s="44">
        <f>'исх. данные'!P46/'исх. данные'!P47*100</f>
        <v>14.499999999999998</v>
      </c>
      <c r="R35" s="44">
        <f>'исх. данные'!Q46/'исх. данные'!Q47*100</f>
        <v>14.49</v>
      </c>
    </row>
    <row r="36" spans="1:18" ht="48" x14ac:dyDescent="0.25">
      <c r="A36" s="8" t="s">
        <v>56</v>
      </c>
      <c r="B36" s="15" t="s">
        <v>34</v>
      </c>
      <c r="C36" s="16" t="s">
        <v>60</v>
      </c>
      <c r="D36" s="16" t="s">
        <v>165</v>
      </c>
      <c r="E36" s="18">
        <f>('исх. данные'!D48/('исх. данные'!D48+'исх. данные'!D10+4))*100</f>
        <v>9.3107617896009671</v>
      </c>
      <c r="F36" s="18">
        <f>('исх. данные'!E48/('исх. данные'!E48+'исх. данные'!E10+4))*100</f>
        <v>9.5670764297167299</v>
      </c>
      <c r="G36" s="18">
        <f>('исх. данные'!F48/('исх. данные'!F48+'исх. данные'!F10+4))*100</f>
        <v>9.085841694537347</v>
      </c>
      <c r="H36" s="18">
        <f>('исх. данные'!G48/('исх. данные'!G48+'исх. данные'!G10+4))*100</f>
        <v>9.0909090909090917</v>
      </c>
      <c r="I36" s="44">
        <f>('исх. данные'!H48/('исх. данные'!H48+'исх. данные'!H10+'исх. данные'!H11))*100</f>
        <v>8.3249748689300915</v>
      </c>
      <c r="J36" s="44">
        <f>('исх. данные'!I48/('исх. данные'!I48+'исх. данные'!I10+'исх. данные'!I11))*100</f>
        <v>8.2264066667186029</v>
      </c>
      <c r="K36" s="44">
        <f>('исх. данные'!J48/('исх. данные'!J48+'исх. данные'!J10+'исх. данные'!J11))*100</f>
        <v>8.2111522750245616</v>
      </c>
      <c r="L36" s="55">
        <f>('исх. данные'!K48/('исх. данные'!K48+'исх. данные'!K10+'исх. данные'!K11))*100</f>
        <v>8.3566524213097715</v>
      </c>
      <c r="M36" s="44">
        <f>('исх. данные'!L48/('исх. данные'!L48+'исх. данные'!L10+'исх. данные'!L11))*100</f>
        <v>8.2016773353769423</v>
      </c>
      <c r="N36" s="44">
        <f>('исх. данные'!M48/('исх. данные'!M48+'исх. данные'!M10+'исх. данные'!M11))*100</f>
        <v>8.1712470403512825</v>
      </c>
      <c r="O36" s="44">
        <f>('исх. данные'!N48/('исх. данные'!N48+'исх. данные'!N10+'исх. данные'!N11))*100</f>
        <v>8.1409196367736101</v>
      </c>
      <c r="P36" s="44">
        <f>('исх. данные'!O48/('исх. данные'!O48+'исх. данные'!O10+'исх. данные'!O11))*100</f>
        <v>8.1106948509676613</v>
      </c>
      <c r="Q36" s="44">
        <f>('исх. данные'!P48/('исх. данные'!P48+'исх. данные'!P10+'исх. данные'!P11))*100</f>
        <v>8.080572409429772</v>
      </c>
      <c r="R36" s="44">
        <f>('исх. данные'!Q48/('исх. данные'!Q48+'исх. данные'!Q10+'исх. данные'!Q11))*100</f>
        <v>8.0505520388335174</v>
      </c>
    </row>
    <row r="37" spans="1:18" ht="48" x14ac:dyDescent="0.25">
      <c r="A37" s="8" t="s">
        <v>57</v>
      </c>
      <c r="B37" s="15" t="s">
        <v>35</v>
      </c>
      <c r="C37" s="16" t="s">
        <v>174</v>
      </c>
      <c r="D37" s="16" t="s">
        <v>169</v>
      </c>
      <c r="E37" s="19">
        <f>'исх. данные'!D49/('исх. данные'!D48+'исх. данные'!D10+'исх. данные'!D11)</f>
        <v>0.62311989686291358</v>
      </c>
      <c r="F37" s="19">
        <f>'исх. данные'!E49/('исх. данные'!E48+'исх. данные'!E10+'исх. данные'!E11)</f>
        <v>0.6692725555030703</v>
      </c>
      <c r="G37" s="19">
        <f>'исх. данные'!F49/('исх. данные'!F48+'исх. данные'!F10+'исх. данные'!F11)</f>
        <v>0.64831474597273853</v>
      </c>
      <c r="H37" s="19">
        <f>'исх. данные'!G49/('исх. данные'!G48+'исх. данные'!G10+'исх. данные'!G11)</f>
        <v>0.75086875167067624</v>
      </c>
      <c r="I37" s="45">
        <f>'исх. данные'!H49/('исх. данные'!H48+'исх. данные'!H10+'исх. данные'!H11)</f>
        <v>0.4960793860641779</v>
      </c>
      <c r="J37" s="19">
        <f>'исх. данные'!I49/('исх. данные'!I48+'исх. данные'!I10+'исх. данные'!I11)</f>
        <v>0.43939264095232894</v>
      </c>
      <c r="K37" s="19">
        <f>'исх. данные'!J49/('исх. данные'!J48+'исх. данные'!J10+'исх. данные'!J11)</f>
        <v>0.43813396159878881</v>
      </c>
      <c r="L37" s="56">
        <f>'исх. данные'!K49/('исх. данные'!K48+'исх. данные'!K10+'исх. данные'!K11)</f>
        <v>0.43219023030439091</v>
      </c>
      <c r="M37" s="19">
        <f>'исх. данные'!L49/('исх. данные'!L48+'исх. данные'!L10+'исх. данные'!L11)</f>
        <v>0.43099999999999999</v>
      </c>
      <c r="N37" s="19">
        <f>'исх. данные'!M49/('исх. данные'!M48+'исх. данные'!M10+'исх. данные'!M11)</f>
        <v>0.43</v>
      </c>
      <c r="O37" s="19">
        <f>'исх. данные'!N49/('исх. данные'!N48+'исх. данные'!N10+'исх. данные'!N11)</f>
        <v>0.42899999999999999</v>
      </c>
      <c r="P37" s="19">
        <f>'исх. данные'!O49/('исх. данные'!O48+'исх. данные'!O10+'исх. данные'!O11)</f>
        <v>0.42799999999999999</v>
      </c>
      <c r="Q37" s="19">
        <f>'исх. данные'!P49/('исх. данные'!P48+'исх. данные'!P10+'исх. данные'!P11)</f>
        <v>0.42699999999999999</v>
      </c>
      <c r="R37" s="19">
        <f>'исх. данные'!Q49/('исх. данные'!Q48+'исх. данные'!Q10+'исх. данные'!Q11)</f>
        <v>0.42599999999999999</v>
      </c>
    </row>
    <row r="38" spans="1:18" ht="36" x14ac:dyDescent="0.25">
      <c r="A38" s="8" t="s">
        <v>58</v>
      </c>
      <c r="B38" s="15" t="s">
        <v>36</v>
      </c>
      <c r="C38" s="16" t="s">
        <v>69</v>
      </c>
      <c r="D38" s="16" t="s">
        <v>166</v>
      </c>
      <c r="E38" s="19">
        <f>'исх. данные'!D50/'исх. данные'!D51</f>
        <v>0.57479826194909989</v>
      </c>
      <c r="F38" s="19">
        <f>'исх. данные'!E50/'исх. данные'!E51</f>
        <v>0.61280487804878048</v>
      </c>
      <c r="G38" s="19">
        <f>'исх. данные'!F50/'исх. данные'!F51</f>
        <v>0.67309090909090907</v>
      </c>
      <c r="H38" s="19">
        <f>'исх. данные'!G50/'исх. данные'!G51</f>
        <v>0.64369114877589451</v>
      </c>
      <c r="I38" s="45">
        <f>'исх. данные'!H50/'исх. данные'!H51</f>
        <v>0.58413266447263323</v>
      </c>
      <c r="J38" s="19">
        <f>'исх. данные'!I50/'исх. данные'!I51</f>
        <v>0.63216623534784588</v>
      </c>
      <c r="K38" s="19">
        <f>'исх. данные'!J50/'исх. данные'!J51</f>
        <v>0.63</v>
      </c>
      <c r="L38" s="56">
        <f>'исх. данные'!K50/'исх. данные'!K51</f>
        <v>0.57220677736869785</v>
      </c>
      <c r="M38" s="19">
        <f>'исх. данные'!L50/'исх. данные'!L51</f>
        <v>0.57274195075682788</v>
      </c>
      <c r="N38" s="19">
        <f>'исх. данные'!M50/'исх. данные'!M51</f>
        <v>0.57100636908786773</v>
      </c>
      <c r="O38" s="19">
        <f>'исх. данные'!N50/'исх. данные'!N51</f>
        <v>0.56927604675729837</v>
      </c>
      <c r="P38" s="19">
        <f>'исх. данные'!O50/'исх. данные'!O51</f>
        <v>0.56755096782773085</v>
      </c>
      <c r="Q38" s="19">
        <f>'исх. данные'!P50/'исх. данные'!P51</f>
        <v>0.565831116410071</v>
      </c>
      <c r="R38" s="19">
        <f>'исх. данные'!Q50/'исх. данные'!Q51</f>
        <v>0.56411647666337383</v>
      </c>
    </row>
    <row r="39" spans="1:18" ht="60" x14ac:dyDescent="0.25">
      <c r="A39" s="8" t="s">
        <v>59</v>
      </c>
      <c r="B39" s="15" t="s">
        <v>37</v>
      </c>
      <c r="C39" s="16" t="s">
        <v>63</v>
      </c>
      <c r="D39" s="16" t="s">
        <v>167</v>
      </c>
      <c r="E39" s="19">
        <f>'исх. данные'!D52/'исх. данные'!D53</f>
        <v>1.6288282250169441</v>
      </c>
      <c r="F39" s="19">
        <f>'исх. данные'!E52/'исх. данные'!E53</f>
        <v>1.0987965961292265</v>
      </c>
      <c r="G39" s="19">
        <f>'исх. данные'!F52/'исх. данные'!F53</f>
        <v>1.1210309511258378</v>
      </c>
      <c r="H39" s="19">
        <f>'исх. данные'!G52/'исх. данные'!G53</f>
        <v>1.308160391566265</v>
      </c>
      <c r="I39" s="45">
        <f>'исх. данные'!H52/'исх. данные'!H53</f>
        <v>1.303665386642572</v>
      </c>
      <c r="J39" s="19">
        <f>'исх. данные'!I52/'исх. данные'!I53</f>
        <v>1.3411949401400496</v>
      </c>
      <c r="K39" s="19">
        <f>'исх. данные'!J52/'исх. данные'!J53</f>
        <v>1.3385125502597695</v>
      </c>
      <c r="L39" s="56">
        <f>'исх. данные'!K52/'исх. данные'!K53</f>
        <v>1.1750041412544237</v>
      </c>
      <c r="M39" s="45">
        <f>'исх. данные'!L52/'исх. данные'!L53</f>
        <v>1.3251274247571718</v>
      </c>
      <c r="N39" s="45">
        <f>'исх. данные'!M52/'исх. данные'!M53</f>
        <v>1.3211520424829002</v>
      </c>
      <c r="O39" s="45">
        <f>'исх. данные'!N52/'исх. данные'!N53</f>
        <v>1.3171885863554516</v>
      </c>
      <c r="P39" s="45">
        <f>'исх. данные'!O52/'исх. данные'!O53</f>
        <v>1.3132370205963853</v>
      </c>
      <c r="Q39" s="45">
        <f>'исх. данные'!P52/'исх. данные'!P53</f>
        <v>1.3092973095345959</v>
      </c>
      <c r="R39" s="45">
        <f>'исх. данные'!Q52/'исх. данные'!Q53</f>
        <v>1.3053694176059922</v>
      </c>
    </row>
    <row r="40" spans="1:18" ht="20.25" customHeight="1" x14ac:dyDescent="0.25">
      <c r="A40" s="10">
        <v>5</v>
      </c>
      <c r="B40" s="81" t="s">
        <v>123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68"/>
      <c r="P40" s="68"/>
      <c r="Q40" s="68"/>
      <c r="R40" s="68"/>
    </row>
    <row r="41" spans="1:18" ht="192" customHeight="1" x14ac:dyDescent="0.25">
      <c r="A41" s="11" t="s">
        <v>126</v>
      </c>
      <c r="B41" s="21" t="s">
        <v>124</v>
      </c>
      <c r="C41" s="22" t="s">
        <v>62</v>
      </c>
      <c r="D41" s="16" t="s">
        <v>153</v>
      </c>
      <c r="E41" s="16">
        <v>0</v>
      </c>
      <c r="F41" s="16">
        <v>0</v>
      </c>
      <c r="G41" s="16">
        <v>0</v>
      </c>
      <c r="H41" s="16">
        <v>0</v>
      </c>
      <c r="I41" s="22">
        <v>0</v>
      </c>
      <c r="J41" s="16">
        <v>0</v>
      </c>
      <c r="K41" s="16">
        <v>0</v>
      </c>
      <c r="L41" s="53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1:18" ht="78" customHeight="1" x14ac:dyDescent="0.25">
      <c r="A42" s="11" t="s">
        <v>127</v>
      </c>
      <c r="B42" s="15" t="s">
        <v>125</v>
      </c>
      <c r="C42" s="22" t="s">
        <v>62</v>
      </c>
      <c r="D42" s="16" t="s">
        <v>153</v>
      </c>
      <c r="E42" s="16">
        <v>0</v>
      </c>
      <c r="F42" s="16">
        <v>0</v>
      </c>
      <c r="G42" s="16">
        <v>0</v>
      </c>
      <c r="H42" s="16">
        <v>0</v>
      </c>
      <c r="I42" s="22">
        <v>0</v>
      </c>
      <c r="J42" s="16">
        <v>0</v>
      </c>
      <c r="K42" s="16">
        <v>0</v>
      </c>
      <c r="L42" s="53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</row>
    <row r="43" spans="1:18" x14ac:dyDescent="0.25">
      <c r="A43" s="12"/>
      <c r="B43" s="13"/>
      <c r="C43" s="13"/>
      <c r="D43" s="13"/>
      <c r="E43" s="13"/>
      <c r="F43" s="13"/>
      <c r="G43" s="13"/>
      <c r="H43" s="13"/>
      <c r="I43" s="47"/>
      <c r="J43" s="13"/>
      <c r="K43" s="13"/>
      <c r="L43" s="13"/>
      <c r="M43" s="13"/>
      <c r="N43" s="13"/>
    </row>
    <row r="44" spans="1:18" x14ac:dyDescent="0.25">
      <c r="A44" s="12"/>
      <c r="B44" s="13"/>
      <c r="C44" s="13"/>
      <c r="D44" s="13"/>
      <c r="E44" s="13"/>
      <c r="F44" s="13"/>
      <c r="G44" s="13"/>
      <c r="H44" s="13"/>
      <c r="I44" s="47"/>
      <c r="J44" s="13"/>
      <c r="K44" s="13"/>
      <c r="L44" s="13"/>
      <c r="M44" s="13"/>
      <c r="N44" s="13"/>
    </row>
    <row r="45" spans="1:18" x14ac:dyDescent="0.25">
      <c r="A45" s="12"/>
      <c r="B45" s="12"/>
      <c r="C45" s="12"/>
      <c r="D45" s="12"/>
      <c r="E45" s="12"/>
      <c r="F45" s="12"/>
      <c r="G45" s="12"/>
      <c r="H45" s="12"/>
      <c r="I45" s="48"/>
      <c r="J45" s="12"/>
      <c r="K45" s="12"/>
      <c r="L45" s="12"/>
      <c r="M45" s="12"/>
      <c r="N45" s="12"/>
    </row>
  </sheetData>
  <mergeCells count="12">
    <mergeCell ref="B8:R8"/>
    <mergeCell ref="Q1:R1"/>
    <mergeCell ref="B40:N40"/>
    <mergeCell ref="A5:N5"/>
    <mergeCell ref="A6:A7"/>
    <mergeCell ref="B6:B7"/>
    <mergeCell ref="C6:C7"/>
    <mergeCell ref="D6:D7"/>
    <mergeCell ref="B15:N15"/>
    <mergeCell ref="B23:N23"/>
    <mergeCell ref="B31:N31"/>
    <mergeCell ref="G6:R6"/>
  </mergeCells>
  <phoneticPr fontId="6" type="noConversion"/>
  <pageMargins left="0.31496062992125984" right="0.31496062992125984" top="0.55118110236220474" bottom="0.15748031496062992" header="0.11811023622047245" footer="0.11811023622047245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исх. данные</vt:lpstr>
      <vt:lpstr>приложение 10 </vt:lpstr>
      <vt:lpstr>'исх. данные'!Заголовки_для_печати</vt:lpstr>
      <vt:lpstr>'приложение 10 '!Заголовки_для_печати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206MO</dc:creator>
  <cp:lastModifiedBy>202MO</cp:lastModifiedBy>
  <cp:lastPrinted>2020-11-19T11:26:50Z</cp:lastPrinted>
  <dcterms:created xsi:type="dcterms:W3CDTF">2015-02-13T07:33:04Z</dcterms:created>
  <dcterms:modified xsi:type="dcterms:W3CDTF">2020-11-19T11:26:52Z</dcterms:modified>
</cp:coreProperties>
</file>