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15" windowWidth="18195" windowHeight="112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Лист1!$1:$10</definedName>
    <definedName name="_xlnm.Print_Area" localSheetId="0">Лист1!$B$1:$AD$911</definedName>
  </definedNames>
  <calcPr calcId="145621"/>
</workbook>
</file>

<file path=xl/calcChain.xml><?xml version="1.0" encoding="utf-8"?>
<calcChain xmlns="http://schemas.openxmlformats.org/spreadsheetml/2006/main">
  <c r="S904" i="1" l="1"/>
  <c r="T679" i="1" l="1"/>
  <c r="T678" i="1" s="1"/>
  <c r="T677" i="1" s="1"/>
  <c r="T676" i="1" s="1"/>
  <c r="T684" i="1" l="1"/>
  <c r="T144" i="1"/>
  <c r="T396" i="1" l="1"/>
  <c r="T199" i="1" l="1"/>
  <c r="T198" i="1" s="1"/>
  <c r="AD488" i="1" l="1"/>
  <c r="AD487" i="1" s="1"/>
  <c r="AD486" i="1" s="1"/>
  <c r="AC488" i="1"/>
  <c r="AC487" i="1" s="1"/>
  <c r="AC486" i="1" s="1"/>
  <c r="AB488" i="1"/>
  <c r="AB487" i="1" s="1"/>
  <c r="AB486" i="1" s="1"/>
  <c r="AA488" i="1"/>
  <c r="AA487" i="1" s="1"/>
  <c r="AA486" i="1" s="1"/>
  <c r="Z488" i="1"/>
  <c r="Z487" i="1" s="1"/>
  <c r="Z486" i="1" s="1"/>
  <c r="Y488" i="1"/>
  <c r="Y487" i="1" s="1"/>
  <c r="Y486" i="1" s="1"/>
  <c r="T903" i="1"/>
  <c r="T838" i="1"/>
  <c r="T835" i="1"/>
  <c r="T831" i="1"/>
  <c r="T828" i="1"/>
  <c r="T824" i="1"/>
  <c r="T821" i="1"/>
  <c r="T787" i="1"/>
  <c r="T779" i="1"/>
  <c r="T775" i="1"/>
  <c r="T774" i="1" s="1"/>
  <c r="T773" i="1" s="1"/>
  <c r="T772" i="1" s="1"/>
  <c r="T757" i="1"/>
  <c r="T756" i="1"/>
  <c r="T744" i="1"/>
  <c r="T743" i="1"/>
  <c r="T691" i="1"/>
  <c r="T689" i="1" s="1"/>
  <c r="T690" i="1"/>
  <c r="T548" i="1"/>
  <c r="T540" i="1"/>
  <c r="T509" i="1"/>
  <c r="T508" i="1" s="1"/>
  <c r="T507" i="1" s="1"/>
  <c r="T506" i="1" s="1"/>
  <c r="T505" i="1"/>
  <c r="T501" i="1"/>
  <c r="T497" i="1"/>
  <c r="T493" i="1"/>
  <c r="T489" i="1"/>
  <c r="T488" i="1" s="1"/>
  <c r="T487" i="1" s="1"/>
  <c r="T486" i="1" s="1"/>
  <c r="T453" i="1"/>
  <c r="T449" i="1"/>
  <c r="T445" i="1"/>
  <c r="T391" i="1"/>
  <c r="T384" i="1"/>
  <c r="T312" i="1"/>
  <c r="T274" i="1"/>
  <c r="T222" i="1"/>
  <c r="T219" i="1"/>
  <c r="T197" i="1"/>
  <c r="T192" i="1"/>
  <c r="T173" i="1"/>
  <c r="T170" i="1"/>
  <c r="T160" i="1"/>
  <c r="T128" i="1"/>
  <c r="T119" i="1"/>
  <c r="T69" i="1"/>
  <c r="T34" i="1"/>
  <c r="R755" i="1" l="1"/>
  <c r="R754" i="1" s="1"/>
  <c r="R753" i="1" s="1"/>
  <c r="R739" i="1" s="1"/>
  <c r="R738" i="1" s="1"/>
  <c r="R737" i="1" s="1"/>
  <c r="R277" i="1" l="1"/>
  <c r="R276" i="1" s="1"/>
  <c r="R275" i="1" s="1"/>
  <c r="T279" i="1"/>
  <c r="T278" i="1"/>
  <c r="R686" i="1" l="1"/>
  <c r="R685" i="1" s="1"/>
  <c r="R680" i="1" s="1"/>
  <c r="R667" i="1" s="1"/>
  <c r="R666" i="1" s="1"/>
  <c r="R46" i="1"/>
  <c r="R45" i="1" s="1"/>
  <c r="R44" i="1" s="1"/>
  <c r="R50" i="1"/>
  <c r="R49" i="1" s="1"/>
  <c r="R48" i="1" s="1"/>
  <c r="R99" i="1"/>
  <c r="R98" i="1" s="1"/>
  <c r="R97" i="1" s="1"/>
  <c r="R165" i="1"/>
  <c r="R164" i="1" s="1"/>
  <c r="R157" i="1" s="1"/>
  <c r="R172" i="1"/>
  <c r="R171" i="1" s="1"/>
  <c r="R167" i="1" s="1"/>
  <c r="R326" i="1"/>
  <c r="R325" i="1" s="1"/>
  <c r="R324" i="1" s="1"/>
  <c r="R323" i="1" s="1"/>
  <c r="R322" i="1" s="1"/>
  <c r="R321" i="1" s="1"/>
  <c r="R778" i="1"/>
  <c r="R777" i="1" s="1"/>
  <c r="R776" i="1" s="1"/>
  <c r="R771" i="1" s="1"/>
  <c r="R801" i="1"/>
  <c r="R800" i="1" s="1"/>
  <c r="R799" i="1" s="1"/>
  <c r="R790" i="1" s="1"/>
  <c r="R789" i="1" s="1"/>
  <c r="R788" i="1" s="1"/>
  <c r="R14" i="1" l="1"/>
  <c r="R13" i="1" s="1"/>
  <c r="R12" i="1" s="1"/>
  <c r="R11" i="1" s="1"/>
  <c r="R665" i="1"/>
  <c r="T166" i="1"/>
  <c r="R904" i="1" l="1"/>
  <c r="T687" i="1"/>
  <c r="T327" i="1" l="1"/>
  <c r="T47" i="1"/>
  <c r="T802" i="1"/>
  <c r="T100" i="1"/>
  <c r="T51" i="1"/>
  <c r="P651" i="1" l="1"/>
  <c r="P650" i="1" s="1"/>
  <c r="P644" i="1" s="1"/>
  <c r="P643" i="1" s="1"/>
  <c r="P642" i="1" s="1"/>
  <c r="T652" i="1"/>
  <c r="P87" i="1"/>
  <c r="P86" i="1" s="1"/>
  <c r="P80" i="1" s="1"/>
  <c r="T88" i="1"/>
  <c r="P641" i="1" l="1"/>
  <c r="AC778" i="1"/>
  <c r="AC777" i="1" s="1"/>
  <c r="AC776" i="1" s="1"/>
  <c r="AC771" i="1" s="1"/>
  <c r="AC665" i="1" s="1"/>
  <c r="AC904" i="1" s="1"/>
  <c r="X778" i="1"/>
  <c r="X777" i="1" s="1"/>
  <c r="X776" i="1" s="1"/>
  <c r="X771" i="1" s="1"/>
  <c r="X665" i="1" s="1"/>
  <c r="X904" i="1" s="1"/>
  <c r="P127" i="1"/>
  <c r="P126" i="1" s="1"/>
  <c r="P120" i="1" s="1"/>
  <c r="P135" i="1"/>
  <c r="P134" i="1" s="1"/>
  <c r="P133" i="1" s="1"/>
  <c r="P143" i="1"/>
  <c r="P142" i="1" s="1"/>
  <c r="P141" i="1" s="1"/>
  <c r="P159" i="1"/>
  <c r="P158" i="1" s="1"/>
  <c r="P157" i="1" s="1"/>
  <c r="P172" i="1"/>
  <c r="P171" i="1" s="1"/>
  <c r="P167" i="1" s="1"/>
  <c r="P191" i="1"/>
  <c r="P190" i="1" s="1"/>
  <c r="P196" i="1"/>
  <c r="P194" i="1"/>
  <c r="P193" i="1" s="1"/>
  <c r="P269" i="1"/>
  <c r="P267" i="1"/>
  <c r="P264" i="1"/>
  <c r="P263" i="1" s="1"/>
  <c r="P277" i="1"/>
  <c r="P276" i="1" s="1"/>
  <c r="P275" i="1" s="1"/>
  <c r="P295" i="1"/>
  <c r="P294" i="1" s="1"/>
  <c r="P293" i="1" s="1"/>
  <c r="P326" i="1"/>
  <c r="P325" i="1" s="1"/>
  <c r="P324" i="1" s="1"/>
  <c r="P330" i="1"/>
  <c r="P329" i="1" s="1"/>
  <c r="P328" i="1" s="1"/>
  <c r="P347" i="1"/>
  <c r="P346" i="1" s="1"/>
  <c r="P341" i="1" s="1"/>
  <c r="P356" i="1"/>
  <c r="P355" i="1" s="1"/>
  <c r="P349" i="1" s="1"/>
  <c r="P380" i="1"/>
  <c r="P379" i="1" s="1"/>
  <c r="P383" i="1"/>
  <c r="P382" i="1" s="1"/>
  <c r="P390" i="1"/>
  <c r="P389" i="1" s="1"/>
  <c r="P385" i="1" s="1"/>
  <c r="P416" i="1"/>
  <c r="P415" i="1" s="1"/>
  <c r="P414" i="1" s="1"/>
  <c r="P399" i="1" s="1"/>
  <c r="P398" i="1" s="1"/>
  <c r="P397" i="1" s="1"/>
  <c r="P444" i="1"/>
  <c r="P443" i="1" s="1"/>
  <c r="P442" i="1" s="1"/>
  <c r="P433" i="1" s="1"/>
  <c r="P432" i="1" s="1"/>
  <c r="P492" i="1"/>
  <c r="P491" i="1" s="1"/>
  <c r="P490" i="1" s="1"/>
  <c r="P496" i="1"/>
  <c r="P495" i="1" s="1"/>
  <c r="P494" i="1" s="1"/>
  <c r="P500" i="1"/>
  <c r="P499" i="1" s="1"/>
  <c r="P498" i="1" s="1"/>
  <c r="P539" i="1"/>
  <c r="P538" i="1" s="1"/>
  <c r="P537" i="1" s="1"/>
  <c r="P543" i="1"/>
  <c r="P542" i="1" s="1"/>
  <c r="P541" i="1" s="1"/>
  <c r="P682" i="1"/>
  <c r="P681" i="1" s="1"/>
  <c r="P686" i="1"/>
  <c r="P685" i="1" s="1"/>
  <c r="P755" i="1"/>
  <c r="P754" i="1" s="1"/>
  <c r="P753" i="1" s="1"/>
  <c r="P739" i="1" s="1"/>
  <c r="P738" i="1" s="1"/>
  <c r="P737" i="1" s="1"/>
  <c r="P786" i="1"/>
  <c r="P785" i="1" s="1"/>
  <c r="P784" i="1" s="1"/>
  <c r="P783" i="1" s="1"/>
  <c r="P801" i="1"/>
  <c r="P800" i="1" s="1"/>
  <c r="P799" i="1" s="1"/>
  <c r="P790" i="1" s="1"/>
  <c r="P789" i="1" s="1"/>
  <c r="P788" i="1" s="1"/>
  <c r="P803" i="1"/>
  <c r="P820" i="1"/>
  <c r="P819" i="1" s="1"/>
  <c r="P823" i="1"/>
  <c r="P822" i="1"/>
  <c r="P827" i="1"/>
  <c r="P826" i="1" s="1"/>
  <c r="P830" i="1"/>
  <c r="P829" i="1"/>
  <c r="P834" i="1"/>
  <c r="P833" i="1" s="1"/>
  <c r="P837" i="1"/>
  <c r="P836" i="1" s="1"/>
  <c r="P843" i="1"/>
  <c r="P842" i="1" s="1"/>
  <c r="P841" i="1" s="1"/>
  <c r="P840" i="1" s="1"/>
  <c r="P839" i="1" s="1"/>
  <c r="P902" i="1"/>
  <c r="P901" i="1" s="1"/>
  <c r="P897" i="1" s="1"/>
  <c r="P845" i="1" s="1"/>
  <c r="P818" i="1" l="1"/>
  <c r="P832" i="1"/>
  <c r="P825" i="1"/>
  <c r="P189" i="1"/>
  <c r="P680" i="1"/>
  <c r="P667" i="1" s="1"/>
  <c r="P666" i="1" s="1"/>
  <c r="P665" i="1" s="1"/>
  <c r="P266" i="1"/>
  <c r="P536" i="1"/>
  <c r="P535" i="1" s="1"/>
  <c r="P534" i="1" s="1"/>
  <c r="P340" i="1"/>
  <c r="P378" i="1"/>
  <c r="P377" i="1" s="1"/>
  <c r="P376" i="1" s="1"/>
  <c r="P375" i="1" s="1"/>
  <c r="P323" i="1"/>
  <c r="P322" i="1" s="1"/>
  <c r="P321" i="1" s="1"/>
  <c r="P262" i="1"/>
  <c r="P14" i="1" s="1"/>
  <c r="P13" i="1" s="1"/>
  <c r="P12" i="1" s="1"/>
  <c r="P471" i="1"/>
  <c r="P470" i="1" s="1"/>
  <c r="P431" i="1" s="1"/>
  <c r="P782" i="1"/>
  <c r="P781" i="1"/>
  <c r="P780" i="1" s="1"/>
  <c r="P430" i="1" l="1"/>
  <c r="P332" i="1"/>
  <c r="P11" i="1" s="1"/>
  <c r="P904" i="1" s="1"/>
  <c r="P339" i="1"/>
  <c r="AD779" i="1"/>
  <c r="Y779" i="1"/>
  <c r="T844" i="1" l="1"/>
  <c r="T843" i="1" s="1"/>
  <c r="T842" i="1" s="1"/>
  <c r="T841" i="1" s="1"/>
  <c r="T840" i="1" s="1"/>
  <c r="T839" i="1" s="1"/>
  <c r="T683" i="1"/>
  <c r="T682" i="1" s="1"/>
  <c r="T544" i="1"/>
  <c r="T417" i="1"/>
  <c r="T381" i="1"/>
  <c r="T357" i="1"/>
  <c r="T348" i="1"/>
  <c r="T331" i="1"/>
  <c r="T296" i="1"/>
  <c r="T277" i="1"/>
  <c r="T276" i="1" s="1"/>
  <c r="T275" i="1" s="1"/>
  <c r="T270" i="1"/>
  <c r="T136" i="1"/>
  <c r="AE665" i="1" l="1"/>
  <c r="AF665" i="1"/>
  <c r="AG665" i="1"/>
  <c r="AH665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U667" i="1"/>
  <c r="U666" i="1" s="1"/>
  <c r="U665" i="1" s="1"/>
  <c r="V667" i="1"/>
  <c r="V666" i="1" s="1"/>
  <c r="V665" i="1" s="1"/>
  <c r="W667" i="1"/>
  <c r="W666" i="1" s="1"/>
  <c r="W665" i="1" s="1"/>
  <c r="Z667" i="1"/>
  <c r="Z666" i="1" s="1"/>
  <c r="Z665" i="1" s="1"/>
  <c r="AA667" i="1"/>
  <c r="AA666" i="1" s="1"/>
  <c r="AA665" i="1" s="1"/>
  <c r="AB667" i="1"/>
  <c r="AB666" i="1" s="1"/>
  <c r="AB665" i="1" s="1"/>
  <c r="O221" i="1" l="1"/>
  <c r="O220" i="1" s="1"/>
  <c r="O216" i="1" s="1"/>
  <c r="O627" i="1"/>
  <c r="O626" i="1" s="1"/>
  <c r="O625" i="1" s="1"/>
  <c r="T628" i="1"/>
  <c r="O587" i="1"/>
  <c r="O586" i="1" s="1"/>
  <c r="O584" i="1"/>
  <c r="O583" i="1" s="1"/>
  <c r="O623" i="1"/>
  <c r="O622" i="1" s="1"/>
  <c r="O621" i="1" s="1"/>
  <c r="O589" i="1" s="1"/>
  <c r="T624" i="1"/>
  <c r="O582" i="1" l="1"/>
  <c r="O581" i="1" s="1"/>
  <c r="O580" i="1" s="1"/>
  <c r="O579" i="1" s="1"/>
  <c r="O682" i="1"/>
  <c r="O681" i="1" s="1"/>
  <c r="O686" i="1"/>
  <c r="O685" i="1" s="1"/>
  <c r="T681" i="1"/>
  <c r="O742" i="1"/>
  <c r="O680" i="1" l="1"/>
  <c r="O667" i="1" s="1"/>
  <c r="O666" i="1" s="1"/>
  <c r="O118" i="1"/>
  <c r="O117" i="1" s="1"/>
  <c r="O116" i="1" s="1"/>
  <c r="O110" i="1"/>
  <c r="O109" i="1" s="1"/>
  <c r="O108" i="1" s="1"/>
  <c r="O114" i="1"/>
  <c r="O113" i="1" s="1"/>
  <c r="O112" i="1" s="1"/>
  <c r="O135" i="1"/>
  <c r="O134" i="1" s="1"/>
  <c r="O133" i="1" s="1"/>
  <c r="O143" i="1"/>
  <c r="O142" i="1" s="1"/>
  <c r="O141" i="1" s="1"/>
  <c r="O159" i="1"/>
  <c r="O158" i="1" s="1"/>
  <c r="O165" i="1"/>
  <c r="O164" i="1" s="1"/>
  <c r="O172" i="1"/>
  <c r="O171" i="1" s="1"/>
  <c r="O167" i="1" s="1"/>
  <c r="O191" i="1"/>
  <c r="O190" i="1" s="1"/>
  <c r="O189" i="1" s="1"/>
  <c r="O420" i="1"/>
  <c r="O419" i="1" s="1"/>
  <c r="O423" i="1"/>
  <c r="O422" i="1" s="1"/>
  <c r="O444" i="1"/>
  <c r="O443" i="1" s="1"/>
  <c r="O442" i="1" s="1"/>
  <c r="O433" i="1" s="1"/>
  <c r="O432" i="1" s="1"/>
  <c r="O492" i="1"/>
  <c r="O491" i="1" s="1"/>
  <c r="O490" i="1" s="1"/>
  <c r="O496" i="1"/>
  <c r="O495" i="1" s="1"/>
  <c r="O494" i="1" s="1"/>
  <c r="O500" i="1"/>
  <c r="O499" i="1" s="1"/>
  <c r="O498" i="1" s="1"/>
  <c r="O539" i="1"/>
  <c r="O538" i="1" s="1"/>
  <c r="O537" i="1" s="1"/>
  <c r="O543" i="1"/>
  <c r="O542" i="1" s="1"/>
  <c r="O541" i="1" s="1"/>
  <c r="O741" i="1"/>
  <c r="O749" i="1"/>
  <c r="O748" i="1" s="1"/>
  <c r="O755" i="1"/>
  <c r="O754" i="1" s="1"/>
  <c r="O753" i="1" s="1"/>
  <c r="O823" i="1"/>
  <c r="O822" i="1" s="1"/>
  <c r="O812" i="1"/>
  <c r="O811" i="1" s="1"/>
  <c r="O810" i="1" s="1"/>
  <c r="O816" i="1"/>
  <c r="O815" i="1" s="1"/>
  <c r="O814" i="1" s="1"/>
  <c r="O820" i="1"/>
  <c r="O819" i="1" s="1"/>
  <c r="O827" i="1"/>
  <c r="O826" i="1" s="1"/>
  <c r="O830" i="1"/>
  <c r="O829" i="1" s="1"/>
  <c r="O834" i="1"/>
  <c r="O833" i="1" s="1"/>
  <c r="O837" i="1"/>
  <c r="O836" i="1" s="1"/>
  <c r="O848" i="1"/>
  <c r="O847" i="1" s="1"/>
  <c r="O846" i="1" s="1"/>
  <c r="O902" i="1"/>
  <c r="O901" i="1" s="1"/>
  <c r="O897" i="1" s="1"/>
  <c r="O832" i="1" l="1"/>
  <c r="O157" i="1"/>
  <c r="O825" i="1"/>
  <c r="O845" i="1"/>
  <c r="O818" i="1"/>
  <c r="O740" i="1"/>
  <c r="O739" i="1" s="1"/>
  <c r="O738" i="1" s="1"/>
  <c r="O737" i="1" s="1"/>
  <c r="O665" i="1" s="1"/>
  <c r="O418" i="1"/>
  <c r="O399" i="1" s="1"/>
  <c r="O398" i="1" s="1"/>
  <c r="O397" i="1" s="1"/>
  <c r="O471" i="1"/>
  <c r="O470" i="1" s="1"/>
  <c r="O431" i="1" s="1"/>
  <c r="O536" i="1"/>
  <c r="O535" i="1" s="1"/>
  <c r="O534" i="1" s="1"/>
  <c r="O14" i="1"/>
  <c r="O13" i="1" s="1"/>
  <c r="O12" i="1" s="1"/>
  <c r="O11" i="1" s="1"/>
  <c r="O805" i="1" l="1"/>
  <c r="O804" i="1" s="1"/>
  <c r="O803" i="1" s="1"/>
  <c r="O430" i="1"/>
  <c r="T849" i="1"/>
  <c r="T837" i="1"/>
  <c r="T836" i="1" s="1"/>
  <c r="T830" i="1"/>
  <c r="T829" i="1" s="1"/>
  <c r="T823" i="1"/>
  <c r="T822" i="1" s="1"/>
  <c r="T817" i="1"/>
  <c r="T813" i="1"/>
  <c r="T750" i="1"/>
  <c r="T742" i="1"/>
  <c r="T424" i="1"/>
  <c r="T421" i="1"/>
  <c r="T115" i="1"/>
  <c r="T111" i="1"/>
  <c r="O904" i="1" l="1"/>
  <c r="N147" i="1"/>
  <c r="N146" i="1" s="1"/>
  <c r="N145" i="1" s="1"/>
  <c r="T148" i="1"/>
  <c r="N159" i="1" l="1"/>
  <c r="N158" i="1" s="1"/>
  <c r="N157" i="1" s="1"/>
  <c r="N347" i="1" l="1"/>
  <c r="N346" i="1" s="1"/>
  <c r="N341" i="1" s="1"/>
  <c r="N135" i="1"/>
  <c r="N134" i="1" s="1"/>
  <c r="N133" i="1" s="1"/>
  <c r="T135" i="1"/>
  <c r="T134" i="1" s="1"/>
  <c r="T133" i="1" s="1"/>
  <c r="N315" i="1"/>
  <c r="N314" i="1" s="1"/>
  <c r="N313" i="1" s="1"/>
  <c r="T316" i="1"/>
  <c r="N356" i="1"/>
  <c r="N355" i="1" s="1"/>
  <c r="N349" i="1" s="1"/>
  <c r="N492" i="1"/>
  <c r="N491" i="1" s="1"/>
  <c r="N490" i="1" s="1"/>
  <c r="N500" i="1"/>
  <c r="N499" i="1" s="1"/>
  <c r="N498" i="1" s="1"/>
  <c r="N902" i="1"/>
  <c r="N901" i="1" s="1"/>
  <c r="N897" i="1" s="1"/>
  <c r="N845" i="1" s="1"/>
  <c r="N340" i="1" l="1"/>
  <c r="N332" i="1" s="1"/>
  <c r="N14" i="1"/>
  <c r="N13" i="1" s="1"/>
  <c r="N12" i="1" s="1"/>
  <c r="N471" i="1"/>
  <c r="N470" i="1" s="1"/>
  <c r="N431" i="1" s="1"/>
  <c r="N430" i="1" s="1"/>
  <c r="M165" i="1"/>
  <c r="M164" i="1" s="1"/>
  <c r="N11" i="1" l="1"/>
  <c r="N904" i="1" s="1"/>
  <c r="N339" i="1"/>
  <c r="M172" i="1"/>
  <c r="M171" i="1" s="1"/>
  <c r="M218" i="1"/>
  <c r="M217" i="1" s="1"/>
  <c r="M216" i="1" s="1"/>
  <c r="M127" i="1"/>
  <c r="M126" i="1" s="1"/>
  <c r="M120" i="1" s="1"/>
  <c r="M159" i="1"/>
  <c r="M158" i="1" s="1"/>
  <c r="M157" i="1" s="1"/>
  <c r="M169" i="1"/>
  <c r="M168" i="1" s="1"/>
  <c r="M420" i="1"/>
  <c r="M419" i="1" s="1"/>
  <c r="M418" i="1" s="1"/>
  <c r="M399" i="1" s="1"/>
  <c r="M398" i="1" s="1"/>
  <c r="M397" i="1" s="1"/>
  <c r="M433" i="1"/>
  <c r="M465" i="1"/>
  <c r="M464" i="1" s="1"/>
  <c r="M463" i="1" s="1"/>
  <c r="M458" i="1" s="1"/>
  <c r="M500" i="1"/>
  <c r="M499" i="1" s="1"/>
  <c r="M498" i="1" s="1"/>
  <c r="M471" i="1" s="1"/>
  <c r="M470" i="1" s="1"/>
  <c r="M742" i="1"/>
  <c r="M741" i="1" s="1"/>
  <c r="M740" i="1" s="1"/>
  <c r="M755" i="1"/>
  <c r="M754" i="1" s="1"/>
  <c r="M753" i="1" s="1"/>
  <c r="M902" i="1"/>
  <c r="M901" i="1" s="1"/>
  <c r="M897" i="1" s="1"/>
  <c r="M845" i="1" s="1"/>
  <c r="M739" i="1" l="1"/>
  <c r="M738" i="1" s="1"/>
  <c r="M737" i="1" s="1"/>
  <c r="M665" i="1" s="1"/>
  <c r="M432" i="1"/>
  <c r="M431" i="1" s="1"/>
  <c r="M430" i="1" s="1"/>
  <c r="M167" i="1"/>
  <c r="M14" i="1" s="1"/>
  <c r="M13" i="1" s="1"/>
  <c r="M12" i="1" s="1"/>
  <c r="M11" i="1" s="1"/>
  <c r="M904" i="1" l="1"/>
  <c r="T466" i="1"/>
  <c r="T632" i="1" l="1"/>
  <c r="L631" i="1"/>
  <c r="L630" i="1" s="1"/>
  <c r="L629" i="1" s="1"/>
  <c r="AD604" i="1" l="1"/>
  <c r="Y604" i="1"/>
  <c r="AD636" i="1"/>
  <c r="Y636" i="1"/>
  <c r="Y160" i="1" l="1"/>
  <c r="AD835" i="1" l="1"/>
  <c r="AD834" i="1" s="1"/>
  <c r="AD833" i="1" s="1"/>
  <c r="AD832" i="1" s="1"/>
  <c r="AD828" i="1"/>
  <c r="AD827" i="1" s="1"/>
  <c r="AD826" i="1" s="1"/>
  <c r="AD825" i="1" s="1"/>
  <c r="AD821" i="1"/>
  <c r="AD820" i="1" s="1"/>
  <c r="AD819" i="1" s="1"/>
  <c r="AD818" i="1" s="1"/>
  <c r="AD817" i="1"/>
  <c r="AD813" i="1"/>
  <c r="L72" i="1" l="1"/>
  <c r="L71" i="1" s="1"/>
  <c r="L70" i="1" s="1"/>
  <c r="T73" i="1"/>
  <c r="T72" i="1" s="1"/>
  <c r="T71" i="1" s="1"/>
  <c r="T70" i="1" s="1"/>
  <c r="L500" i="1" l="1"/>
  <c r="L499" i="1" s="1"/>
  <c r="L498" i="1" s="1"/>
  <c r="L459" i="1" l="1"/>
  <c r="L536" i="1"/>
  <c r="L535" i="1" s="1"/>
  <c r="L587" i="1"/>
  <c r="L586" i="1" s="1"/>
  <c r="L584" i="1"/>
  <c r="L583" i="1" s="1"/>
  <c r="L82" i="1"/>
  <c r="L81" i="1" s="1"/>
  <c r="L87" i="1"/>
  <c r="L86" i="1" s="1"/>
  <c r="L99" i="1"/>
  <c r="L98" i="1" s="1"/>
  <c r="L97" i="1" s="1"/>
  <c r="L118" i="1"/>
  <c r="L117" i="1" s="1"/>
  <c r="L116" i="1" s="1"/>
  <c r="L127" i="1"/>
  <c r="L126" i="1" s="1"/>
  <c r="L120" i="1" s="1"/>
  <c r="L131" i="1"/>
  <c r="L130" i="1" s="1"/>
  <c r="L129" i="1" s="1"/>
  <c r="L151" i="1"/>
  <c r="L150" i="1" s="1"/>
  <c r="L149" i="1" s="1"/>
  <c r="L159" i="1"/>
  <c r="L158" i="1" s="1"/>
  <c r="L162" i="1"/>
  <c r="L161" i="1" s="1"/>
  <c r="L169" i="1"/>
  <c r="L168" i="1" s="1"/>
  <c r="L172" i="1"/>
  <c r="L171" i="1" s="1"/>
  <c r="L183" i="1"/>
  <c r="L182" i="1" s="1"/>
  <c r="L181" i="1" s="1"/>
  <c r="L191" i="1"/>
  <c r="L190" i="1" s="1"/>
  <c r="L196" i="1"/>
  <c r="L194" i="1"/>
  <c r="L218" i="1"/>
  <c r="L217" i="1" s="1"/>
  <c r="L216" i="1" s="1"/>
  <c r="L269" i="1"/>
  <c r="L267" i="1"/>
  <c r="L264" i="1"/>
  <c r="L263" i="1" s="1"/>
  <c r="L347" i="1"/>
  <c r="L346" i="1" s="1"/>
  <c r="L341" i="1" s="1"/>
  <c r="L356" i="1"/>
  <c r="L355" i="1" s="1"/>
  <c r="L349" i="1" s="1"/>
  <c r="L367" i="1"/>
  <c r="L366" i="1" s="1"/>
  <c r="L365" i="1" s="1"/>
  <c r="L402" i="1"/>
  <c r="L401" i="1" s="1"/>
  <c r="L400" i="1" s="1"/>
  <c r="L399" i="1" s="1"/>
  <c r="L398" i="1" s="1"/>
  <c r="L397" i="1" s="1"/>
  <c r="L444" i="1"/>
  <c r="L443" i="1" s="1"/>
  <c r="L442" i="1" s="1"/>
  <c r="L433" i="1" s="1"/>
  <c r="L465" i="1"/>
  <c r="L464" i="1" s="1"/>
  <c r="L463" i="1" s="1"/>
  <c r="L492" i="1"/>
  <c r="L491" i="1" s="1"/>
  <c r="L490" i="1" s="1"/>
  <c r="L496" i="1"/>
  <c r="L495" i="1" s="1"/>
  <c r="L494" i="1" s="1"/>
  <c r="L559" i="1"/>
  <c r="L558" i="1" s="1"/>
  <c r="L557" i="1" s="1"/>
  <c r="L556" i="1" s="1"/>
  <c r="L555" i="1" s="1"/>
  <c r="L603" i="1"/>
  <c r="L602" i="1" s="1"/>
  <c r="L598" i="1" s="1"/>
  <c r="L611" i="1"/>
  <c r="L610" i="1" s="1"/>
  <c r="L609" i="1" s="1"/>
  <c r="L635" i="1"/>
  <c r="L634" i="1" s="1"/>
  <c r="L633" i="1" s="1"/>
  <c r="L639" i="1"/>
  <c r="L638" i="1" s="1"/>
  <c r="L637" i="1" s="1"/>
  <c r="L646" i="1"/>
  <c r="L645" i="1" s="1"/>
  <c r="L644" i="1" s="1"/>
  <c r="L658" i="1"/>
  <c r="L657" i="1" s="1"/>
  <c r="L686" i="1"/>
  <c r="L685" i="1" s="1"/>
  <c r="L680" i="1" s="1"/>
  <c r="L698" i="1"/>
  <c r="L697" i="1" s="1"/>
  <c r="L696" i="1" s="1"/>
  <c r="L709" i="1"/>
  <c r="L708" i="1" s="1"/>
  <c r="L707" i="1" s="1"/>
  <c r="L705" i="1"/>
  <c r="L704" i="1" s="1"/>
  <c r="L703" i="1" s="1"/>
  <c r="L742" i="1"/>
  <c r="L741" i="1" s="1"/>
  <c r="L740" i="1" s="1"/>
  <c r="L755" i="1"/>
  <c r="L754" i="1" s="1"/>
  <c r="L753" i="1" s="1"/>
  <c r="L812" i="1"/>
  <c r="L811" i="1" s="1"/>
  <c r="L810" i="1" s="1"/>
  <c r="L808" i="1"/>
  <c r="L807" i="1" s="1"/>
  <c r="L806" i="1" s="1"/>
  <c r="L816" i="1"/>
  <c r="L815" i="1" s="1"/>
  <c r="L814" i="1" s="1"/>
  <c r="L820" i="1"/>
  <c r="L819" i="1" s="1"/>
  <c r="L818" i="1" s="1"/>
  <c r="L827" i="1"/>
  <c r="L826" i="1" s="1"/>
  <c r="L825" i="1" s="1"/>
  <c r="L834" i="1"/>
  <c r="L833" i="1" s="1"/>
  <c r="L832" i="1" s="1"/>
  <c r="L848" i="1"/>
  <c r="L847" i="1" s="1"/>
  <c r="L846" i="1" s="1"/>
  <c r="L857" i="1"/>
  <c r="L856" i="1" s="1"/>
  <c r="L855" i="1" s="1"/>
  <c r="L850" i="1" s="1"/>
  <c r="L864" i="1"/>
  <c r="L863" i="1" s="1"/>
  <c r="L862" i="1" s="1"/>
  <c r="L870" i="1"/>
  <c r="L869" i="1" s="1"/>
  <c r="L868" i="1" s="1"/>
  <c r="L902" i="1"/>
  <c r="L901" i="1" s="1"/>
  <c r="L897" i="1" s="1"/>
  <c r="L582" i="1" l="1"/>
  <c r="L581" i="1" s="1"/>
  <c r="L266" i="1"/>
  <c r="L458" i="1"/>
  <c r="L432" i="1" s="1"/>
  <c r="L702" i="1"/>
  <c r="L701" i="1" s="1"/>
  <c r="L700" i="1" s="1"/>
  <c r="L167" i="1"/>
  <c r="L861" i="1"/>
  <c r="L471" i="1"/>
  <c r="L470" i="1" s="1"/>
  <c r="L643" i="1"/>
  <c r="L642" i="1" s="1"/>
  <c r="L193" i="1"/>
  <c r="L189" i="1" s="1"/>
  <c r="L739" i="1"/>
  <c r="L738" i="1" s="1"/>
  <c r="L737" i="1" s="1"/>
  <c r="L80" i="1"/>
  <c r="L589" i="1"/>
  <c r="L580" i="1" s="1"/>
  <c r="L579" i="1" s="1"/>
  <c r="L667" i="1"/>
  <c r="L666" i="1" s="1"/>
  <c r="L534" i="1"/>
  <c r="L262" i="1"/>
  <c r="L805" i="1"/>
  <c r="L804" i="1" s="1"/>
  <c r="L803" i="1" s="1"/>
  <c r="L157" i="1"/>
  <c r="L845" i="1"/>
  <c r="L340" i="1"/>
  <c r="L339" i="1" s="1"/>
  <c r="T873" i="1"/>
  <c r="T872" i="1"/>
  <c r="T867" i="1"/>
  <c r="T866" i="1"/>
  <c r="T860" i="1"/>
  <c r="T859" i="1"/>
  <c r="U805" i="1"/>
  <c r="V805" i="1"/>
  <c r="Z805" i="1"/>
  <c r="AA805" i="1"/>
  <c r="T834" i="1"/>
  <c r="T833" i="1" s="1"/>
  <c r="T832" i="1" s="1"/>
  <c r="T827" i="1"/>
  <c r="T826" i="1" s="1"/>
  <c r="T825" i="1" s="1"/>
  <c r="T820" i="1"/>
  <c r="T819" i="1" s="1"/>
  <c r="T818" i="1" s="1"/>
  <c r="T710" i="1"/>
  <c r="T699" i="1"/>
  <c r="T698" i="1" s="1"/>
  <c r="T697" i="1" s="1"/>
  <c r="T696" i="1" s="1"/>
  <c r="T659" i="1"/>
  <c r="T649" i="1"/>
  <c r="T648" i="1"/>
  <c r="U589" i="1"/>
  <c r="V589" i="1"/>
  <c r="Z589" i="1"/>
  <c r="AA589" i="1"/>
  <c r="T640" i="1"/>
  <c r="T639" i="1" s="1"/>
  <c r="T638" i="1" s="1"/>
  <c r="T637" i="1" s="1"/>
  <c r="T636" i="1"/>
  <c r="T612" i="1"/>
  <c r="T604" i="1"/>
  <c r="T562" i="1"/>
  <c r="T561" i="1"/>
  <c r="T405" i="1"/>
  <c r="T404" i="1"/>
  <c r="T368" i="1"/>
  <c r="T184" i="1"/>
  <c r="U157" i="1"/>
  <c r="V157" i="1"/>
  <c r="Z157" i="1"/>
  <c r="AA157" i="1"/>
  <c r="T163" i="1"/>
  <c r="T162" i="1" s="1"/>
  <c r="T161" i="1" s="1"/>
  <c r="T152" i="1"/>
  <c r="T132" i="1"/>
  <c r="T85" i="1"/>
  <c r="T84" i="1"/>
  <c r="L641" i="1" l="1"/>
  <c r="L431" i="1"/>
  <c r="L430" i="1" s="1"/>
  <c r="L665" i="1"/>
  <c r="L332" i="1"/>
  <c r="L14" i="1"/>
  <c r="L13" i="1" s="1"/>
  <c r="L12" i="1" s="1"/>
  <c r="L11" i="1" s="1"/>
  <c r="K496" i="1"/>
  <c r="K495" i="1" s="1"/>
  <c r="K494" i="1" s="1"/>
  <c r="L904" i="1" l="1"/>
  <c r="K127" i="1"/>
  <c r="K126" i="1" s="1"/>
  <c r="K120" i="1" s="1"/>
  <c r="K159" i="1"/>
  <c r="K158" i="1" s="1"/>
  <c r="K157" i="1" s="1"/>
  <c r="K191" i="1"/>
  <c r="K190" i="1" s="1"/>
  <c r="K196" i="1"/>
  <c r="K194" i="1"/>
  <c r="K218" i="1"/>
  <c r="K217" i="1" s="1"/>
  <c r="K216" i="1" s="1"/>
  <c r="K260" i="1"/>
  <c r="K259" i="1" s="1"/>
  <c r="K258" i="1" s="1"/>
  <c r="K269" i="1"/>
  <c r="K267" i="1"/>
  <c r="K264" i="1"/>
  <c r="K263" i="1" s="1"/>
  <c r="K319" i="1"/>
  <c r="K318" i="1" s="1"/>
  <c r="K317" i="1" s="1"/>
  <c r="K356" i="1"/>
  <c r="K355" i="1" s="1"/>
  <c r="K349" i="1" s="1"/>
  <c r="K340" i="1" s="1"/>
  <c r="K420" i="1"/>
  <c r="K419" i="1" s="1"/>
  <c r="K418" i="1" s="1"/>
  <c r="K399" i="1" s="1"/>
  <c r="K398" i="1" s="1"/>
  <c r="K397" i="1" s="1"/>
  <c r="K444" i="1"/>
  <c r="K443" i="1" s="1"/>
  <c r="K442" i="1" s="1"/>
  <c r="K433" i="1" s="1"/>
  <c r="K465" i="1"/>
  <c r="K464" i="1" s="1"/>
  <c r="K463" i="1" s="1"/>
  <c r="K458" i="1" s="1"/>
  <c r="K492" i="1"/>
  <c r="K491" i="1" s="1"/>
  <c r="K490" i="1" s="1"/>
  <c r="K471" i="1" s="1"/>
  <c r="K470" i="1" s="1"/>
  <c r="K596" i="1"/>
  <c r="K595" i="1" s="1"/>
  <c r="K594" i="1" s="1"/>
  <c r="K592" i="1"/>
  <c r="K591" i="1" s="1"/>
  <c r="K590" i="1" s="1"/>
  <c r="K587" i="1"/>
  <c r="K586" i="1" s="1"/>
  <c r="K584" i="1"/>
  <c r="K583" i="1" s="1"/>
  <c r="K631" i="1"/>
  <c r="K630" i="1" s="1"/>
  <c r="K629" i="1" s="1"/>
  <c r="K635" i="1"/>
  <c r="K634" i="1" s="1"/>
  <c r="K633" i="1" s="1"/>
  <c r="K658" i="1"/>
  <c r="K657" i="1" s="1"/>
  <c r="K643" i="1" s="1"/>
  <c r="K709" i="1"/>
  <c r="K708" i="1" s="1"/>
  <c r="K707" i="1" s="1"/>
  <c r="K705" i="1"/>
  <c r="K704" i="1" s="1"/>
  <c r="K703" i="1" s="1"/>
  <c r="K742" i="1"/>
  <c r="K741" i="1" s="1"/>
  <c r="K740" i="1" s="1"/>
  <c r="K755" i="1"/>
  <c r="K754" i="1" s="1"/>
  <c r="K753" i="1" s="1"/>
  <c r="K816" i="1"/>
  <c r="K815" i="1" s="1"/>
  <c r="K814" i="1" s="1"/>
  <c r="K812" i="1"/>
  <c r="K811" i="1" s="1"/>
  <c r="K810" i="1" s="1"/>
  <c r="K808" i="1"/>
  <c r="K807" i="1" s="1"/>
  <c r="K806" i="1" s="1"/>
  <c r="K902" i="1"/>
  <c r="K901" i="1" s="1"/>
  <c r="K897" i="1" s="1"/>
  <c r="K845" i="1" s="1"/>
  <c r="T755" i="1"/>
  <c r="T597" i="1"/>
  <c r="T320" i="1"/>
  <c r="T261" i="1"/>
  <c r="K266" i="1" l="1"/>
  <c r="K262" i="1" s="1"/>
  <c r="K193" i="1"/>
  <c r="K582" i="1"/>
  <c r="K581" i="1" s="1"/>
  <c r="K702" i="1"/>
  <c r="K701" i="1" s="1"/>
  <c r="K700" i="1" s="1"/>
  <c r="K739" i="1"/>
  <c r="K738" i="1" s="1"/>
  <c r="K737" i="1" s="1"/>
  <c r="K189" i="1"/>
  <c r="K432" i="1"/>
  <c r="K431" i="1" s="1"/>
  <c r="K641" i="1"/>
  <c r="K642" i="1"/>
  <c r="K589" i="1"/>
  <c r="K332" i="1"/>
  <c r="K339" i="1"/>
  <c r="K805" i="1"/>
  <c r="K804" i="1" s="1"/>
  <c r="K803" i="1" s="1"/>
  <c r="AA904" i="1"/>
  <c r="V904" i="1"/>
  <c r="K14" i="1" l="1"/>
  <c r="K13" i="1" s="1"/>
  <c r="K12" i="1" s="1"/>
  <c r="K11" i="1" s="1"/>
  <c r="K580" i="1"/>
  <c r="K579" i="1" s="1"/>
  <c r="K430" i="1" s="1"/>
  <c r="K665" i="1"/>
  <c r="T156" i="1"/>
  <c r="J155" i="1"/>
  <c r="J154" i="1" s="1"/>
  <c r="J153" i="1" s="1"/>
  <c r="J151" i="1"/>
  <c r="J150" i="1" s="1"/>
  <c r="J149" i="1" s="1"/>
  <c r="J755" i="1"/>
  <c r="J754" i="1" s="1"/>
  <c r="J753" i="1" s="1"/>
  <c r="J749" i="1"/>
  <c r="J748" i="1" s="1"/>
  <c r="K904" i="1" l="1"/>
  <c r="T79" i="1"/>
  <c r="T78" i="1"/>
  <c r="T76" i="1" l="1"/>
  <c r="J196" i="1" l="1"/>
  <c r="J194" i="1"/>
  <c r="J193" i="1" s="1"/>
  <c r="J596" i="1" l="1"/>
  <c r="J595" i="1" s="1"/>
  <c r="J594" i="1" s="1"/>
  <c r="J592" i="1"/>
  <c r="J591" i="1" s="1"/>
  <c r="J590" i="1" s="1"/>
  <c r="J587" i="1"/>
  <c r="J586" i="1" s="1"/>
  <c r="J584" i="1"/>
  <c r="J583" i="1" s="1"/>
  <c r="T596" i="1"/>
  <c r="T595" i="1" s="1"/>
  <c r="T594" i="1" s="1"/>
  <c r="J76" i="1"/>
  <c r="J75" i="1" s="1"/>
  <c r="J74" i="1" s="1"/>
  <c r="J82" i="1"/>
  <c r="J81" i="1" s="1"/>
  <c r="J80" i="1" s="1"/>
  <c r="J496" i="1"/>
  <c r="J495" i="1" s="1"/>
  <c r="J494" i="1" s="1"/>
  <c r="J492" i="1"/>
  <c r="J491" i="1" s="1"/>
  <c r="J490" i="1" s="1"/>
  <c r="J118" i="1"/>
  <c r="J117" i="1" s="1"/>
  <c r="J116" i="1" s="1"/>
  <c r="J127" i="1"/>
  <c r="J126" i="1" s="1"/>
  <c r="J120" i="1" s="1"/>
  <c r="J147" i="1"/>
  <c r="J146" i="1" s="1"/>
  <c r="J145" i="1" s="1"/>
  <c r="J159" i="1"/>
  <c r="J158" i="1" s="1"/>
  <c r="J165" i="1"/>
  <c r="J164" i="1" s="1"/>
  <c r="J172" i="1"/>
  <c r="J171" i="1" s="1"/>
  <c r="J167" i="1" s="1"/>
  <c r="J183" i="1"/>
  <c r="J182" i="1" s="1"/>
  <c r="J181" i="1" s="1"/>
  <c r="J191" i="1"/>
  <c r="J190" i="1" s="1"/>
  <c r="J189" i="1" s="1"/>
  <c r="J218" i="1"/>
  <c r="J217" i="1" s="1"/>
  <c r="J221" i="1"/>
  <c r="J220" i="1" s="1"/>
  <c r="J299" i="1"/>
  <c r="J298" i="1" s="1"/>
  <c r="J297" i="1" s="1"/>
  <c r="J303" i="1"/>
  <c r="J302" i="1" s="1"/>
  <c r="J301" i="1" s="1"/>
  <c r="J326" i="1"/>
  <c r="J325" i="1" s="1"/>
  <c r="J324" i="1" s="1"/>
  <c r="J323" i="1" s="1"/>
  <c r="J322" i="1" s="1"/>
  <c r="J321" i="1" s="1"/>
  <c r="J436" i="1"/>
  <c r="J435" i="1" s="1"/>
  <c r="J434" i="1" s="1"/>
  <c r="J440" i="1"/>
  <c r="J439" i="1" s="1"/>
  <c r="J438" i="1" s="1"/>
  <c r="J444" i="1"/>
  <c r="J443" i="1" s="1"/>
  <c r="J442" i="1" s="1"/>
  <c r="J461" i="1"/>
  <c r="J460" i="1" s="1"/>
  <c r="J459" i="1" s="1"/>
  <c r="J465" i="1"/>
  <c r="J464" i="1" s="1"/>
  <c r="J463" i="1" s="1"/>
  <c r="J474" i="1"/>
  <c r="J476" i="1"/>
  <c r="J480" i="1"/>
  <c r="J479" i="1" s="1"/>
  <c r="J478" i="1" s="1"/>
  <c r="J484" i="1"/>
  <c r="J483" i="1" s="1"/>
  <c r="J482" i="1" s="1"/>
  <c r="J500" i="1"/>
  <c r="J499" i="1" s="1"/>
  <c r="J498" i="1" s="1"/>
  <c r="J528" i="1"/>
  <c r="J527" i="1" s="1"/>
  <c r="J526" i="1" s="1"/>
  <c r="J532" i="1"/>
  <c r="J531" i="1" s="1"/>
  <c r="J530" i="1" s="1"/>
  <c r="J686" i="1"/>
  <c r="J685" i="1" s="1"/>
  <c r="J689" i="1"/>
  <c r="J688" i="1" s="1"/>
  <c r="J742" i="1"/>
  <c r="J741" i="1" s="1"/>
  <c r="J740" i="1" s="1"/>
  <c r="J739" i="1" s="1"/>
  <c r="J738" i="1" s="1"/>
  <c r="J737" i="1" s="1"/>
  <c r="J902" i="1"/>
  <c r="J901" i="1" s="1"/>
  <c r="J897" i="1" s="1"/>
  <c r="J845" i="1" s="1"/>
  <c r="T686" i="1"/>
  <c r="T685" i="1" s="1"/>
  <c r="T688" i="1"/>
  <c r="T680" i="1" l="1"/>
  <c r="J473" i="1"/>
  <c r="J472" i="1" s="1"/>
  <c r="J471" i="1" s="1"/>
  <c r="J470" i="1" s="1"/>
  <c r="J525" i="1"/>
  <c r="J524" i="1" s="1"/>
  <c r="J680" i="1"/>
  <c r="J667" i="1" s="1"/>
  <c r="J666" i="1" s="1"/>
  <c r="J665" i="1" s="1"/>
  <c r="J157" i="1"/>
  <c r="J216" i="1"/>
  <c r="J458" i="1"/>
  <c r="J433" i="1"/>
  <c r="J589" i="1"/>
  <c r="J582" i="1"/>
  <c r="J581" i="1" s="1"/>
  <c r="J432" i="1" l="1"/>
  <c r="J431" i="1" s="1"/>
  <c r="J14" i="1"/>
  <c r="J13" i="1" s="1"/>
  <c r="J12" i="1" s="1"/>
  <c r="J11" i="1" s="1"/>
  <c r="J580" i="1"/>
  <c r="J579" i="1" s="1"/>
  <c r="J430" i="1" l="1"/>
  <c r="J904" i="1" s="1"/>
  <c r="AD732" i="1"/>
  <c r="AD736" i="1"/>
  <c r="Y736" i="1"/>
  <c r="AD699" i="1"/>
  <c r="AD698" i="1" s="1"/>
  <c r="AD697" i="1" s="1"/>
  <c r="AD696" i="1" s="1"/>
  <c r="AD667" i="1" s="1"/>
  <c r="Y699" i="1"/>
  <c r="Y698" i="1" s="1"/>
  <c r="Y697" i="1" s="1"/>
  <c r="Y696" i="1" s="1"/>
  <c r="Y667" i="1" s="1"/>
  <c r="Y666" i="1" s="1"/>
  <c r="AD675" i="1"/>
  <c r="AD674" i="1" s="1"/>
  <c r="AD673" i="1" s="1"/>
  <c r="AD672" i="1" s="1"/>
  <c r="AD533" i="1"/>
  <c r="AD532" i="1" s="1"/>
  <c r="AD531" i="1" s="1"/>
  <c r="AD530" i="1" s="1"/>
  <c r="Y533" i="1"/>
  <c r="Y532" i="1" s="1"/>
  <c r="Y531" i="1" s="1"/>
  <c r="Y530" i="1" s="1"/>
  <c r="AD529" i="1"/>
  <c r="Y529" i="1"/>
  <c r="AD518" i="1"/>
  <c r="AD517" i="1" s="1"/>
  <c r="AD516" i="1" s="1"/>
  <c r="AD515" i="1" s="1"/>
  <c r="AD514" i="1"/>
  <c r="AD501" i="1"/>
  <c r="Y501" i="1"/>
  <c r="AD493" i="1"/>
  <c r="Y493" i="1"/>
  <c r="AD485" i="1"/>
  <c r="AD484" i="1" s="1"/>
  <c r="AD483" i="1" s="1"/>
  <c r="AD482" i="1" s="1"/>
  <c r="Y485" i="1"/>
  <c r="Y484" i="1" s="1"/>
  <c r="Y483" i="1" s="1"/>
  <c r="Y482" i="1" s="1"/>
  <c r="AD481" i="1"/>
  <c r="Y481" i="1"/>
  <c r="AD477" i="1"/>
  <c r="AD476" i="1" s="1"/>
  <c r="Y477" i="1"/>
  <c r="Y476" i="1" s="1"/>
  <c r="AD475" i="1"/>
  <c r="Y475" i="1"/>
  <c r="AD441" i="1"/>
  <c r="AD440" i="1" s="1"/>
  <c r="AD439" i="1" s="1"/>
  <c r="AD438" i="1" s="1"/>
  <c r="Y441" i="1"/>
  <c r="Y440" i="1" s="1"/>
  <c r="Y439" i="1" s="1"/>
  <c r="Y438" i="1" s="1"/>
  <c r="AD437" i="1"/>
  <c r="Y437" i="1"/>
  <c r="AD304" i="1"/>
  <c r="AD303" i="1" s="1"/>
  <c r="AD302" i="1" s="1"/>
  <c r="AD301" i="1" s="1"/>
  <c r="Y304" i="1"/>
  <c r="Y303" i="1" s="1"/>
  <c r="Y302" i="1" s="1"/>
  <c r="Y301" i="1" s="1"/>
  <c r="AD300" i="1"/>
  <c r="Y300" i="1"/>
  <c r="T533" i="1"/>
  <c r="T532" i="1" s="1"/>
  <c r="T531" i="1" s="1"/>
  <c r="T530" i="1" s="1"/>
  <c r="T529" i="1"/>
  <c r="T485" i="1"/>
  <c r="T484" i="1" s="1"/>
  <c r="T483" i="1" s="1"/>
  <c r="T482" i="1" s="1"/>
  <c r="T481" i="1"/>
  <c r="T477" i="1"/>
  <c r="T476" i="1" s="1"/>
  <c r="T475" i="1"/>
  <c r="T465" i="1"/>
  <c r="T464" i="1" s="1"/>
  <c r="T463" i="1" s="1"/>
  <c r="T462" i="1"/>
  <c r="T441" i="1"/>
  <c r="T440" i="1" s="1"/>
  <c r="T439" i="1" s="1"/>
  <c r="T438" i="1" s="1"/>
  <c r="T437" i="1"/>
  <c r="T304" i="1"/>
  <c r="T303" i="1" s="1"/>
  <c r="T302" i="1" s="1"/>
  <c r="T301" i="1" s="1"/>
  <c r="T300" i="1"/>
  <c r="T165" i="1"/>
  <c r="T164" i="1" s="1"/>
  <c r="AD666" i="1" l="1"/>
  <c r="I902" i="1"/>
  <c r="I901" i="1" s="1"/>
  <c r="I897" i="1" s="1"/>
  <c r="I895" i="1"/>
  <c r="I894" i="1" s="1"/>
  <c r="I893" i="1" s="1"/>
  <c r="I891" i="1"/>
  <c r="I890" i="1" s="1"/>
  <c r="I889" i="1" s="1"/>
  <c r="I887" i="1"/>
  <c r="I886" i="1" s="1"/>
  <c r="I885" i="1" s="1"/>
  <c r="I883" i="1"/>
  <c r="I882" i="1" s="1"/>
  <c r="I881" i="1" s="1"/>
  <c r="I878" i="1"/>
  <c r="I877" i="1" s="1"/>
  <c r="I875" i="1"/>
  <c r="I874" i="1" s="1"/>
  <c r="I870" i="1"/>
  <c r="I869" i="1" s="1"/>
  <c r="I864" i="1"/>
  <c r="I863" i="1" s="1"/>
  <c r="I862" i="1" s="1"/>
  <c r="I857" i="1"/>
  <c r="I856" i="1" s="1"/>
  <c r="I855" i="1" s="1"/>
  <c r="I853" i="1"/>
  <c r="I852" i="1" s="1"/>
  <c r="I851" i="1" s="1"/>
  <c r="I848" i="1"/>
  <c r="I847" i="1" s="1"/>
  <c r="I846" i="1" s="1"/>
  <c r="I816" i="1"/>
  <c r="I815" i="1" s="1"/>
  <c r="I814" i="1" s="1"/>
  <c r="I812" i="1"/>
  <c r="I811" i="1" s="1"/>
  <c r="I810" i="1" s="1"/>
  <c r="I808" i="1"/>
  <c r="I807" i="1" s="1"/>
  <c r="I806" i="1" s="1"/>
  <c r="I801" i="1"/>
  <c r="I800" i="1" s="1"/>
  <c r="I799" i="1" s="1"/>
  <c r="I797" i="1"/>
  <c r="I796" i="1" s="1"/>
  <c r="I795" i="1" s="1"/>
  <c r="I793" i="1"/>
  <c r="I792" i="1" s="1"/>
  <c r="I791" i="1" s="1"/>
  <c r="I786" i="1"/>
  <c r="I785" i="1" s="1"/>
  <c r="I784" i="1" s="1"/>
  <c r="I783" i="1" s="1"/>
  <c r="I778" i="1"/>
  <c r="I777" i="1" s="1"/>
  <c r="I776" i="1" s="1"/>
  <c r="I771" i="1" s="1"/>
  <c r="I769" i="1"/>
  <c r="I768" i="1" s="1"/>
  <c r="I767" i="1" s="1"/>
  <c r="I765" i="1"/>
  <c r="I764" i="1" s="1"/>
  <c r="I763" i="1" s="1"/>
  <c r="I761" i="1"/>
  <c r="I760" i="1" s="1"/>
  <c r="I759" i="1" s="1"/>
  <c r="I755" i="1"/>
  <c r="I754" i="1" s="1"/>
  <c r="I753" i="1" s="1"/>
  <c r="I751" i="1"/>
  <c r="I749" i="1"/>
  <c r="I746" i="1"/>
  <c r="I745" i="1" s="1"/>
  <c r="I742" i="1"/>
  <c r="I741" i="1" s="1"/>
  <c r="I735" i="1"/>
  <c r="I734" i="1" s="1"/>
  <c r="I733" i="1" s="1"/>
  <c r="I731" i="1"/>
  <c r="I730" i="1" s="1"/>
  <c r="I729" i="1" s="1"/>
  <c r="I724" i="1"/>
  <c r="I723" i="1" s="1"/>
  <c r="I722" i="1" s="1"/>
  <c r="I716" i="1"/>
  <c r="I715" i="1" s="1"/>
  <c r="I714" i="1" s="1"/>
  <c r="I712" i="1"/>
  <c r="I711" i="1" s="1"/>
  <c r="I709" i="1"/>
  <c r="I708" i="1" s="1"/>
  <c r="I705" i="1"/>
  <c r="I704" i="1" s="1"/>
  <c r="I703" i="1" s="1"/>
  <c r="I694" i="1"/>
  <c r="I693" i="1" s="1"/>
  <c r="I692" i="1" s="1"/>
  <c r="I670" i="1"/>
  <c r="I669" i="1" s="1"/>
  <c r="I668" i="1" s="1"/>
  <c r="I662" i="1"/>
  <c r="I661" i="1" s="1"/>
  <c r="I660" i="1" s="1"/>
  <c r="I658" i="1"/>
  <c r="I657" i="1" s="1"/>
  <c r="I655" i="1"/>
  <c r="I654" i="1" s="1"/>
  <c r="I653" i="1" s="1"/>
  <c r="I651" i="1"/>
  <c r="I650" i="1" s="1"/>
  <c r="I646" i="1"/>
  <c r="I645" i="1" s="1"/>
  <c r="I635" i="1"/>
  <c r="I634" i="1" s="1"/>
  <c r="I633" i="1" s="1"/>
  <c r="I631" i="1"/>
  <c r="I630" i="1" s="1"/>
  <c r="I629" i="1" s="1"/>
  <c r="I627" i="1"/>
  <c r="I626" i="1" s="1"/>
  <c r="I625" i="1" s="1"/>
  <c r="I623" i="1"/>
  <c r="I622" i="1" s="1"/>
  <c r="I621" i="1" s="1"/>
  <c r="I619" i="1"/>
  <c r="I618" i="1" s="1"/>
  <c r="I617" i="1" s="1"/>
  <c r="I615" i="1"/>
  <c r="I614" i="1" s="1"/>
  <c r="I613" i="1" s="1"/>
  <c r="I611" i="1"/>
  <c r="I610" i="1" s="1"/>
  <c r="I609" i="1" s="1"/>
  <c r="I607" i="1"/>
  <c r="I606" i="1" s="1"/>
  <c r="I605" i="1" s="1"/>
  <c r="I603" i="1"/>
  <c r="I602" i="1" s="1"/>
  <c r="I600" i="1"/>
  <c r="I599" i="1" s="1"/>
  <c r="I592" i="1"/>
  <c r="I591" i="1" s="1"/>
  <c r="I590" i="1" s="1"/>
  <c r="I587" i="1"/>
  <c r="I586" i="1" s="1"/>
  <c r="I584" i="1"/>
  <c r="I583" i="1" s="1"/>
  <c r="I576" i="1"/>
  <c r="I575" i="1" s="1"/>
  <c r="I574" i="1" s="1"/>
  <c r="I572" i="1"/>
  <c r="I571" i="1" s="1"/>
  <c r="I570" i="1" s="1"/>
  <c r="I567" i="1"/>
  <c r="I566" i="1" s="1"/>
  <c r="I564" i="1"/>
  <c r="I563" i="1" s="1"/>
  <c r="I559" i="1"/>
  <c r="I558" i="1" s="1"/>
  <c r="I553" i="1"/>
  <c r="I552" i="1" s="1"/>
  <c r="I551" i="1" s="1"/>
  <c r="I550" i="1" s="1"/>
  <c r="I549" i="1" s="1"/>
  <c r="I547" i="1"/>
  <c r="I546" i="1" s="1"/>
  <c r="I545" i="1" s="1"/>
  <c r="I543" i="1"/>
  <c r="I542" i="1" s="1"/>
  <c r="I541" i="1" s="1"/>
  <c r="I539" i="1"/>
  <c r="I538" i="1" s="1"/>
  <c r="I537" i="1" s="1"/>
  <c r="I528" i="1"/>
  <c r="I527" i="1" s="1"/>
  <c r="I526" i="1" s="1"/>
  <c r="I525" i="1" s="1"/>
  <c r="I524" i="1" s="1"/>
  <c r="I522" i="1"/>
  <c r="I521" i="1" s="1"/>
  <c r="I520" i="1" s="1"/>
  <c r="I519" i="1" s="1"/>
  <c r="I513" i="1"/>
  <c r="I512" i="1" s="1"/>
  <c r="I511" i="1" s="1"/>
  <c r="I510" i="1" s="1"/>
  <c r="I504" i="1"/>
  <c r="I503" i="1" s="1"/>
  <c r="I502" i="1" s="1"/>
  <c r="I500" i="1"/>
  <c r="I499" i="1" s="1"/>
  <c r="I498" i="1" s="1"/>
  <c r="I496" i="1"/>
  <c r="I495" i="1" s="1"/>
  <c r="I494" i="1" s="1"/>
  <c r="I492" i="1"/>
  <c r="I491" i="1" s="1"/>
  <c r="I490" i="1" s="1"/>
  <c r="I480" i="1"/>
  <c r="I479" i="1" s="1"/>
  <c r="I478" i="1" s="1"/>
  <c r="I474" i="1"/>
  <c r="I473" i="1" s="1"/>
  <c r="I472" i="1" s="1"/>
  <c r="I461" i="1"/>
  <c r="I460" i="1" s="1"/>
  <c r="I459" i="1" s="1"/>
  <c r="I458" i="1" s="1"/>
  <c r="I456" i="1"/>
  <c r="I455" i="1" s="1"/>
  <c r="I454" i="1" s="1"/>
  <c r="I452" i="1"/>
  <c r="I451" i="1" s="1"/>
  <c r="I450" i="1" s="1"/>
  <c r="I448" i="1"/>
  <c r="I447" i="1" s="1"/>
  <c r="I446" i="1" s="1"/>
  <c r="I444" i="1"/>
  <c r="I443" i="1" s="1"/>
  <c r="I442" i="1" s="1"/>
  <c r="I436" i="1"/>
  <c r="I435" i="1" s="1"/>
  <c r="I434" i="1" s="1"/>
  <c r="I427" i="1"/>
  <c r="I426" i="1" s="1"/>
  <c r="I425" i="1" s="1"/>
  <c r="I423" i="1"/>
  <c r="I422" i="1" s="1"/>
  <c r="I420" i="1"/>
  <c r="I419" i="1" s="1"/>
  <c r="I416" i="1"/>
  <c r="I415" i="1" s="1"/>
  <c r="I414" i="1" s="1"/>
  <c r="I410" i="1"/>
  <c r="I409" i="1" s="1"/>
  <c r="I407" i="1"/>
  <c r="I406" i="1" s="1"/>
  <c r="I402" i="1"/>
  <c r="I401" i="1" s="1"/>
  <c r="I395" i="1"/>
  <c r="I394" i="1" s="1"/>
  <c r="I393" i="1" s="1"/>
  <c r="I392" i="1" s="1"/>
  <c r="I390" i="1"/>
  <c r="I389" i="1" s="1"/>
  <c r="I387" i="1"/>
  <c r="I386" i="1" s="1"/>
  <c r="I383" i="1"/>
  <c r="I382" i="1" s="1"/>
  <c r="I380" i="1"/>
  <c r="I379" i="1" s="1"/>
  <c r="I371" i="1"/>
  <c r="I370" i="1" s="1"/>
  <c r="I369" i="1" s="1"/>
  <c r="I367" i="1"/>
  <c r="I366" i="1" s="1"/>
  <c r="I365" i="1" s="1"/>
  <c r="I361" i="1"/>
  <c r="I359" i="1"/>
  <c r="I356" i="1"/>
  <c r="I355" i="1" s="1"/>
  <c r="I351" i="1"/>
  <c r="I350" i="1" s="1"/>
  <c r="I347" i="1"/>
  <c r="I346" i="1" s="1"/>
  <c r="I343" i="1"/>
  <c r="I342" i="1" s="1"/>
  <c r="I337" i="1"/>
  <c r="I336" i="1" s="1"/>
  <c r="I335" i="1" s="1"/>
  <c r="I334" i="1" s="1"/>
  <c r="I333" i="1" s="1"/>
  <c r="I330" i="1"/>
  <c r="I329" i="1" s="1"/>
  <c r="I328" i="1" s="1"/>
  <c r="I326" i="1"/>
  <c r="I325" i="1" s="1"/>
  <c r="I324" i="1" s="1"/>
  <c r="I319" i="1"/>
  <c r="I318" i="1" s="1"/>
  <c r="I317" i="1" s="1"/>
  <c r="I315" i="1"/>
  <c r="I314" i="1" s="1"/>
  <c r="I313" i="1" s="1"/>
  <c r="I311" i="1"/>
  <c r="I310" i="1" s="1"/>
  <c r="I309" i="1" s="1"/>
  <c r="I307" i="1"/>
  <c r="I306" i="1" s="1"/>
  <c r="I305" i="1" s="1"/>
  <c r="I299" i="1"/>
  <c r="I298" i="1" s="1"/>
  <c r="I297" i="1" s="1"/>
  <c r="I295" i="1"/>
  <c r="I294" i="1" s="1"/>
  <c r="I293" i="1" s="1"/>
  <c r="I289" i="1"/>
  <c r="I285" i="1"/>
  <c r="I284" i="1" s="1"/>
  <c r="I282" i="1"/>
  <c r="I281" i="1" s="1"/>
  <c r="I273" i="1"/>
  <c r="I272" i="1" s="1"/>
  <c r="I271" i="1" s="1"/>
  <c r="I269" i="1"/>
  <c r="I267" i="1"/>
  <c r="I264" i="1"/>
  <c r="I263" i="1" s="1"/>
  <c r="I260" i="1"/>
  <c r="I259" i="1" s="1"/>
  <c r="I258" i="1" s="1"/>
  <c r="I256" i="1"/>
  <c r="I255" i="1" s="1"/>
  <c r="I254" i="1" s="1"/>
  <c r="I252" i="1"/>
  <c r="I251" i="1" s="1"/>
  <c r="I250" i="1" s="1"/>
  <c r="I248" i="1"/>
  <c r="I247" i="1" s="1"/>
  <c r="I246" i="1" s="1"/>
  <c r="I245" i="1" s="1"/>
  <c r="I243" i="1"/>
  <c r="I242" i="1" s="1"/>
  <c r="I241" i="1" s="1"/>
  <c r="I240" i="1" s="1"/>
  <c r="I238" i="1"/>
  <c r="I237" i="1" s="1"/>
  <c r="I236" i="1" s="1"/>
  <c r="I235" i="1" s="1"/>
  <c r="I233" i="1"/>
  <c r="I232" i="1" s="1"/>
  <c r="I231" i="1" s="1"/>
  <c r="I230" i="1" s="1"/>
  <c r="I228" i="1"/>
  <c r="I227" i="1" s="1"/>
  <c r="I225" i="1"/>
  <c r="I224" i="1" s="1"/>
  <c r="I221" i="1"/>
  <c r="I220" i="1" s="1"/>
  <c r="I218" i="1"/>
  <c r="I217" i="1" s="1"/>
  <c r="I214" i="1"/>
  <c r="I213" i="1" s="1"/>
  <c r="I212" i="1" s="1"/>
  <c r="I210" i="1"/>
  <c r="I208" i="1"/>
  <c r="I205" i="1"/>
  <c r="I204" i="1" s="1"/>
  <c r="I202" i="1"/>
  <c r="I201" i="1" s="1"/>
  <c r="I196" i="1"/>
  <c r="I194" i="1"/>
  <c r="I191" i="1"/>
  <c r="I190" i="1" s="1"/>
  <c r="I187" i="1"/>
  <c r="I186" i="1" s="1"/>
  <c r="I185" i="1" s="1"/>
  <c r="I183" i="1"/>
  <c r="I182" i="1" s="1"/>
  <c r="I181" i="1" s="1"/>
  <c r="I179" i="1"/>
  <c r="I178" i="1" s="1"/>
  <c r="I177" i="1" s="1"/>
  <c r="I175" i="1"/>
  <c r="I174" i="1" s="1"/>
  <c r="I172" i="1"/>
  <c r="I171" i="1" s="1"/>
  <c r="I169" i="1"/>
  <c r="I168" i="1" s="1"/>
  <c r="I159" i="1"/>
  <c r="I158" i="1" s="1"/>
  <c r="I157" i="1" s="1"/>
  <c r="I155" i="1"/>
  <c r="I154" i="1" s="1"/>
  <c r="I153" i="1" s="1"/>
  <c r="I151" i="1"/>
  <c r="I150" i="1" s="1"/>
  <c r="I149" i="1" s="1"/>
  <c r="I147" i="1"/>
  <c r="I146" i="1" s="1"/>
  <c r="I145" i="1" s="1"/>
  <c r="I143" i="1"/>
  <c r="I142" i="1" s="1"/>
  <c r="I141" i="1" s="1"/>
  <c r="I139" i="1"/>
  <c r="I138" i="1" s="1"/>
  <c r="I137" i="1" s="1"/>
  <c r="I131" i="1"/>
  <c r="I130" i="1" s="1"/>
  <c r="I129" i="1" s="1"/>
  <c r="I127" i="1"/>
  <c r="I126" i="1" s="1"/>
  <c r="I122" i="1"/>
  <c r="I121" i="1" s="1"/>
  <c r="I118" i="1"/>
  <c r="I117" i="1" s="1"/>
  <c r="I116" i="1" s="1"/>
  <c r="I114" i="1"/>
  <c r="I113" i="1" s="1"/>
  <c r="I112" i="1" s="1"/>
  <c r="I110" i="1"/>
  <c r="I109" i="1" s="1"/>
  <c r="I108" i="1" s="1"/>
  <c r="I106" i="1"/>
  <c r="I104" i="1" s="1"/>
  <c r="I102" i="1"/>
  <c r="I101" i="1" s="1"/>
  <c r="I99" i="1"/>
  <c r="I98" i="1" s="1"/>
  <c r="I95" i="1"/>
  <c r="I94" i="1" s="1"/>
  <c r="I92" i="1"/>
  <c r="I90" i="1"/>
  <c r="I87" i="1"/>
  <c r="I86" i="1" s="1"/>
  <c r="I82" i="1"/>
  <c r="I81" i="1" s="1"/>
  <c r="I76" i="1"/>
  <c r="I75" i="1" s="1"/>
  <c r="I74" i="1" s="1"/>
  <c r="I68" i="1"/>
  <c r="I67" i="1" s="1"/>
  <c r="I66" i="1" s="1"/>
  <c r="I64" i="1"/>
  <c r="I63" i="1" s="1"/>
  <c r="I62" i="1" s="1"/>
  <c r="I60" i="1"/>
  <c r="I59" i="1" s="1"/>
  <c r="I56" i="1"/>
  <c r="I55" i="1" s="1"/>
  <c r="I52" i="1"/>
  <c r="I50" i="1"/>
  <c r="I46" i="1"/>
  <c r="I45" i="1" s="1"/>
  <c r="I44" i="1" s="1"/>
  <c r="I42" i="1"/>
  <c r="I41" i="1" s="1"/>
  <c r="I37" i="1"/>
  <c r="I36" i="1" s="1"/>
  <c r="I33" i="1"/>
  <c r="I32" i="1" s="1"/>
  <c r="I31" i="1" s="1"/>
  <c r="I29" i="1"/>
  <c r="I28" i="1" s="1"/>
  <c r="I27" i="1" s="1"/>
  <c r="I25" i="1"/>
  <c r="I24" i="1" s="1"/>
  <c r="I23" i="1" s="1"/>
  <c r="I21" i="1"/>
  <c r="I20" i="1" s="1"/>
  <c r="I17" i="1"/>
  <c r="I16" i="1" s="1"/>
  <c r="I89" i="1" l="1"/>
  <c r="I80" i="1" s="1"/>
  <c r="I15" i="1"/>
  <c r="I207" i="1"/>
  <c r="I200" i="1" s="1"/>
  <c r="I216" i="1"/>
  <c r="I667" i="1"/>
  <c r="I666" i="1" s="1"/>
  <c r="I748" i="1"/>
  <c r="I740" i="1" s="1"/>
  <c r="I739" i="1" s="1"/>
  <c r="I738" i="1" s="1"/>
  <c r="I737" i="1" s="1"/>
  <c r="I790" i="1"/>
  <c r="I789" i="1" s="1"/>
  <c r="I788" i="1" s="1"/>
  <c r="I358" i="1"/>
  <c r="I349" i="1" s="1"/>
  <c r="I266" i="1"/>
  <c r="I262" i="1" s="1"/>
  <c r="I193" i="1"/>
  <c r="I189" i="1" s="1"/>
  <c r="I323" i="1"/>
  <c r="I322" i="1" s="1"/>
  <c r="I321" i="1" s="1"/>
  <c r="I850" i="1"/>
  <c r="I54" i="1"/>
  <c r="I707" i="1"/>
  <c r="I702" i="1" s="1"/>
  <c r="I701" i="1" s="1"/>
  <c r="I700" i="1" s="1"/>
  <c r="I400" i="1"/>
  <c r="I557" i="1"/>
  <c r="I556" i="1" s="1"/>
  <c r="I555" i="1" s="1"/>
  <c r="I35" i="1"/>
  <c r="I49" i="1"/>
  <c r="I48" i="1" s="1"/>
  <c r="I97" i="1"/>
  <c r="I418" i="1"/>
  <c r="I433" i="1"/>
  <c r="I432" i="1" s="1"/>
  <c r="I598" i="1"/>
  <c r="I589" i="1" s="1"/>
  <c r="I120" i="1"/>
  <c r="I167" i="1"/>
  <c r="I280" i="1"/>
  <c r="I341" i="1"/>
  <c r="I378" i="1"/>
  <c r="I582" i="1"/>
  <c r="I581" i="1" s="1"/>
  <c r="I728" i="1"/>
  <c r="I782" i="1"/>
  <c r="I781" i="1"/>
  <c r="I780" i="1" s="1"/>
  <c r="I223" i="1"/>
  <c r="I385" i="1"/>
  <c r="I471" i="1"/>
  <c r="I470" i="1" s="1"/>
  <c r="I536" i="1"/>
  <c r="I535" i="1" s="1"/>
  <c r="I644" i="1"/>
  <c r="I643" i="1" s="1"/>
  <c r="I758" i="1"/>
  <c r="I805" i="1"/>
  <c r="I804" i="1" s="1"/>
  <c r="I803" i="1" s="1"/>
  <c r="I868" i="1"/>
  <c r="I861" i="1" s="1"/>
  <c r="I534" i="1" l="1"/>
  <c r="I377" i="1"/>
  <c r="I376" i="1" s="1"/>
  <c r="I375" i="1" s="1"/>
  <c r="I340" i="1"/>
  <c r="I339" i="1" s="1"/>
  <c r="I845" i="1"/>
  <c r="I14" i="1"/>
  <c r="I13" i="1" s="1"/>
  <c r="I12" i="1" s="1"/>
  <c r="I431" i="1"/>
  <c r="I399" i="1"/>
  <c r="I398" i="1" s="1"/>
  <c r="I397" i="1" s="1"/>
  <c r="I580" i="1"/>
  <c r="I579" i="1" s="1"/>
  <c r="I642" i="1"/>
  <c r="I641" i="1"/>
  <c r="I727" i="1"/>
  <c r="I726" i="1"/>
  <c r="I665" i="1" s="1"/>
  <c r="AD902" i="1"/>
  <c r="AD901" i="1" s="1"/>
  <c r="Y902" i="1"/>
  <c r="Y901" i="1" s="1"/>
  <c r="T902" i="1"/>
  <c r="T901" i="1" s="1"/>
  <c r="T897" i="1" s="1"/>
  <c r="AH901" i="1"/>
  <c r="AG901" i="1"/>
  <c r="AF901" i="1"/>
  <c r="AE901" i="1"/>
  <c r="AD899" i="1"/>
  <c r="AD898" i="1" s="1"/>
  <c r="Y899" i="1"/>
  <c r="Y898" i="1" s="1"/>
  <c r="T895" i="1"/>
  <c r="T894" i="1" s="1"/>
  <c r="T893" i="1" s="1"/>
  <c r="AD891" i="1"/>
  <c r="AD890" i="1" s="1"/>
  <c r="AD889" i="1" s="1"/>
  <c r="Y891" i="1"/>
  <c r="Y890" i="1" s="1"/>
  <c r="Y889" i="1" s="1"/>
  <c r="T891" i="1"/>
  <c r="T890" i="1" s="1"/>
  <c r="T889" i="1" s="1"/>
  <c r="AD887" i="1"/>
  <c r="AD886" i="1" s="1"/>
  <c r="AD885" i="1" s="1"/>
  <c r="Y887" i="1"/>
  <c r="Y886" i="1" s="1"/>
  <c r="Y885" i="1" s="1"/>
  <c r="T887" i="1"/>
  <c r="T886" i="1" s="1"/>
  <c r="T885" i="1" s="1"/>
  <c r="AD883" i="1"/>
  <c r="AD882" i="1" s="1"/>
  <c r="AD881" i="1" s="1"/>
  <c r="Y883" i="1"/>
  <c r="Y882" i="1" s="1"/>
  <c r="Y881" i="1" s="1"/>
  <c r="T883" i="1"/>
  <c r="T882" i="1" s="1"/>
  <c r="T881" i="1" s="1"/>
  <c r="AD878" i="1"/>
  <c r="AD877" i="1" s="1"/>
  <c r="Y878" i="1"/>
  <c r="Y877" i="1" s="1"/>
  <c r="T878" i="1"/>
  <c r="T877" i="1" s="1"/>
  <c r="AD875" i="1"/>
  <c r="AD874" i="1" s="1"/>
  <c r="Y875" i="1"/>
  <c r="Y874" i="1" s="1"/>
  <c r="T875" i="1"/>
  <c r="T874" i="1" s="1"/>
  <c r="AD870" i="1"/>
  <c r="AD869" i="1" s="1"/>
  <c r="Y870" i="1"/>
  <c r="Y869" i="1" s="1"/>
  <c r="T870" i="1"/>
  <c r="T869" i="1" s="1"/>
  <c r="AK866" i="1"/>
  <c r="AJ866" i="1"/>
  <c r="AI866" i="1"/>
  <c r="AD864" i="1"/>
  <c r="AD863" i="1" s="1"/>
  <c r="AD862" i="1" s="1"/>
  <c r="Y864" i="1"/>
  <c r="Y863" i="1" s="1"/>
  <c r="Y862" i="1" s="1"/>
  <c r="T864" i="1"/>
  <c r="T863" i="1" s="1"/>
  <c r="T862" i="1" s="1"/>
  <c r="AD857" i="1"/>
  <c r="AD856" i="1" s="1"/>
  <c r="AD855" i="1" s="1"/>
  <c r="Y857" i="1"/>
  <c r="Y856" i="1" s="1"/>
  <c r="Y855" i="1" s="1"/>
  <c r="T857" i="1"/>
  <c r="T856" i="1" s="1"/>
  <c r="T855" i="1" s="1"/>
  <c r="AD853" i="1"/>
  <c r="AD852" i="1" s="1"/>
  <c r="AD851" i="1" s="1"/>
  <c r="Y853" i="1"/>
  <c r="Y852" i="1" s="1"/>
  <c r="Y851" i="1" s="1"/>
  <c r="T853" i="1"/>
  <c r="T852" i="1" s="1"/>
  <c r="T851" i="1" s="1"/>
  <c r="T848" i="1"/>
  <c r="T847" i="1" s="1"/>
  <c r="T846" i="1" s="1"/>
  <c r="AD816" i="1"/>
  <c r="AD815" i="1" s="1"/>
  <c r="AD814" i="1" s="1"/>
  <c r="Y816" i="1"/>
  <c r="Y815" i="1" s="1"/>
  <c r="Y814" i="1" s="1"/>
  <c r="T816" i="1"/>
  <c r="T815" i="1" s="1"/>
  <c r="T814" i="1" s="1"/>
  <c r="AD812" i="1"/>
  <c r="AD811" i="1" s="1"/>
  <c r="AD810" i="1" s="1"/>
  <c r="AD805" i="1" s="1"/>
  <c r="Y812" i="1"/>
  <c r="Y811" i="1" s="1"/>
  <c r="Y810" i="1" s="1"/>
  <c r="T812" i="1"/>
  <c r="T811" i="1" s="1"/>
  <c r="T810" i="1" s="1"/>
  <c r="T808" i="1"/>
  <c r="T807" i="1" s="1"/>
  <c r="T806" i="1" s="1"/>
  <c r="T801" i="1"/>
  <c r="T800" i="1" s="1"/>
  <c r="T799" i="1" s="1"/>
  <c r="AD797" i="1"/>
  <c r="AD796" i="1" s="1"/>
  <c r="AD795" i="1" s="1"/>
  <c r="Y797" i="1"/>
  <c r="Y796" i="1" s="1"/>
  <c r="Y795" i="1" s="1"/>
  <c r="T797" i="1"/>
  <c r="T796" i="1" s="1"/>
  <c r="T795" i="1" s="1"/>
  <c r="AD793" i="1"/>
  <c r="AD792" i="1" s="1"/>
  <c r="AD791" i="1" s="1"/>
  <c r="Y793" i="1"/>
  <c r="Y792" i="1" s="1"/>
  <c r="Y791" i="1" s="1"/>
  <c r="T793" i="1"/>
  <c r="T792" i="1" s="1"/>
  <c r="T791" i="1" s="1"/>
  <c r="AD786" i="1"/>
  <c r="AD785" i="1" s="1"/>
  <c r="AD784" i="1" s="1"/>
  <c r="AD783" i="1" s="1"/>
  <c r="Y786" i="1"/>
  <c r="Y785" i="1" s="1"/>
  <c r="Y784" i="1" s="1"/>
  <c r="Y783" i="1" s="1"/>
  <c r="T786" i="1"/>
  <c r="T785" i="1" s="1"/>
  <c r="T784" i="1" s="1"/>
  <c r="T783" i="1" s="1"/>
  <c r="AD778" i="1"/>
  <c r="AD777" i="1" s="1"/>
  <c r="AD776" i="1" s="1"/>
  <c r="AD771" i="1" s="1"/>
  <c r="Y778" i="1"/>
  <c r="Y777" i="1" s="1"/>
  <c r="Y776" i="1" s="1"/>
  <c r="Y771" i="1" s="1"/>
  <c r="T778" i="1"/>
  <c r="T777" i="1" s="1"/>
  <c r="T776" i="1" s="1"/>
  <c r="T771" i="1" s="1"/>
  <c r="T769" i="1"/>
  <c r="T768" i="1" s="1"/>
  <c r="T767" i="1" s="1"/>
  <c r="AD765" i="1"/>
  <c r="AD764" i="1" s="1"/>
  <c r="AD763" i="1" s="1"/>
  <c r="AD758" i="1" s="1"/>
  <c r="Y765" i="1"/>
  <c r="Y764" i="1" s="1"/>
  <c r="Y763" i="1" s="1"/>
  <c r="Y758" i="1" s="1"/>
  <c r="T765" i="1"/>
  <c r="T764" i="1" s="1"/>
  <c r="T763" i="1" s="1"/>
  <c r="T761" i="1"/>
  <c r="T760" i="1" s="1"/>
  <c r="T759" i="1" s="1"/>
  <c r="AD755" i="1"/>
  <c r="AD754" i="1" s="1"/>
  <c r="AD753" i="1" s="1"/>
  <c r="Y755" i="1"/>
  <c r="Y754" i="1" s="1"/>
  <c r="Y753" i="1" s="1"/>
  <c r="T754" i="1"/>
  <c r="T753" i="1" s="1"/>
  <c r="T751" i="1"/>
  <c r="AD749" i="1"/>
  <c r="AD748" i="1" s="1"/>
  <c r="Y749" i="1"/>
  <c r="Y748" i="1" s="1"/>
  <c r="T749" i="1"/>
  <c r="T746" i="1"/>
  <c r="T745" i="1" s="1"/>
  <c r="AD742" i="1"/>
  <c r="AD741" i="1" s="1"/>
  <c r="Y742" i="1"/>
  <c r="Y741" i="1" s="1"/>
  <c r="T741" i="1"/>
  <c r="AH739" i="1"/>
  <c r="AG739" i="1"/>
  <c r="AF739" i="1"/>
  <c r="AE739" i="1"/>
  <c r="AD735" i="1"/>
  <c r="AD734" i="1" s="1"/>
  <c r="AD733" i="1" s="1"/>
  <c r="Y735" i="1"/>
  <c r="Y734" i="1" s="1"/>
  <c r="Y733" i="1" s="1"/>
  <c r="Y728" i="1" s="1"/>
  <c r="T735" i="1"/>
  <c r="T734" i="1" s="1"/>
  <c r="T733" i="1" s="1"/>
  <c r="AD731" i="1"/>
  <c r="AD730" i="1" s="1"/>
  <c r="AD729" i="1" s="1"/>
  <c r="T731" i="1"/>
  <c r="T730" i="1" s="1"/>
  <c r="T729" i="1" s="1"/>
  <c r="T724" i="1"/>
  <c r="T723" i="1" s="1"/>
  <c r="T722" i="1" s="1"/>
  <c r="Y720" i="1"/>
  <c r="Y719" i="1" s="1"/>
  <c r="Y718" i="1" s="1"/>
  <c r="AD716" i="1"/>
  <c r="AD715" i="1" s="1"/>
  <c r="AD714" i="1" s="1"/>
  <c r="Y716" i="1"/>
  <c r="Y715" i="1" s="1"/>
  <c r="Y714" i="1" s="1"/>
  <c r="T716" i="1"/>
  <c r="T715" i="1" s="1"/>
  <c r="T714" i="1" s="1"/>
  <c r="T712" i="1"/>
  <c r="T711" i="1" s="1"/>
  <c r="T709" i="1"/>
  <c r="T708" i="1" s="1"/>
  <c r="AD705" i="1"/>
  <c r="AD704" i="1" s="1"/>
  <c r="AD703" i="1" s="1"/>
  <c r="Y705" i="1"/>
  <c r="Y704" i="1" s="1"/>
  <c r="Y703" i="1" s="1"/>
  <c r="T705" i="1"/>
  <c r="T704" i="1" s="1"/>
  <c r="T703" i="1" s="1"/>
  <c r="T694" i="1"/>
  <c r="T693" i="1" s="1"/>
  <c r="T692" i="1" s="1"/>
  <c r="T670" i="1"/>
  <c r="T669" i="1" s="1"/>
  <c r="T668" i="1" s="1"/>
  <c r="AD662" i="1"/>
  <c r="AD661" i="1" s="1"/>
  <c r="AD660" i="1" s="1"/>
  <c r="Y662" i="1"/>
  <c r="Y661" i="1" s="1"/>
  <c r="Y660" i="1" s="1"/>
  <c r="T662" i="1"/>
  <c r="T661" i="1" s="1"/>
  <c r="T660" i="1" s="1"/>
  <c r="AD658" i="1"/>
  <c r="AD657" i="1" s="1"/>
  <c r="Y658" i="1"/>
  <c r="Y657" i="1" s="1"/>
  <c r="T658" i="1"/>
  <c r="T657" i="1" s="1"/>
  <c r="T655" i="1"/>
  <c r="T654" i="1" s="1"/>
  <c r="T653" i="1" s="1"/>
  <c r="AD651" i="1"/>
  <c r="AD650" i="1" s="1"/>
  <c r="Y651" i="1"/>
  <c r="Y650" i="1" s="1"/>
  <c r="T651" i="1"/>
  <c r="T650" i="1" s="1"/>
  <c r="AD646" i="1"/>
  <c r="AD645" i="1" s="1"/>
  <c r="Y646" i="1"/>
  <c r="Y645" i="1" s="1"/>
  <c r="T646" i="1"/>
  <c r="T645" i="1" s="1"/>
  <c r="AD635" i="1"/>
  <c r="AD634" i="1" s="1"/>
  <c r="AD633" i="1" s="1"/>
  <c r="Y635" i="1"/>
  <c r="Y634" i="1" s="1"/>
  <c r="Y633" i="1" s="1"/>
  <c r="T635" i="1"/>
  <c r="T634" i="1" s="1"/>
  <c r="T633" i="1" s="1"/>
  <c r="T631" i="1"/>
  <c r="T630" i="1" s="1"/>
  <c r="T629" i="1" s="1"/>
  <c r="AD627" i="1"/>
  <c r="AD626" i="1" s="1"/>
  <c r="AD625" i="1" s="1"/>
  <c r="Y627" i="1"/>
  <c r="Y626" i="1" s="1"/>
  <c r="Y625" i="1" s="1"/>
  <c r="T627" i="1"/>
  <c r="T626" i="1" s="1"/>
  <c r="T625" i="1" s="1"/>
  <c r="AJ624" i="1"/>
  <c r="AD623" i="1"/>
  <c r="AD622" i="1" s="1"/>
  <c r="AD621" i="1" s="1"/>
  <c r="Y623" i="1"/>
  <c r="Y622" i="1" s="1"/>
  <c r="Y621" i="1" s="1"/>
  <c r="T623" i="1"/>
  <c r="T622" i="1" s="1"/>
  <c r="T621" i="1" s="1"/>
  <c r="AD619" i="1"/>
  <c r="AD618" i="1" s="1"/>
  <c r="AD617" i="1" s="1"/>
  <c r="Y619" i="1"/>
  <c r="Y618" i="1" s="1"/>
  <c r="Y617" i="1" s="1"/>
  <c r="T619" i="1"/>
  <c r="T618" i="1" s="1"/>
  <c r="T617" i="1" s="1"/>
  <c r="AD615" i="1"/>
  <c r="AD614" i="1" s="1"/>
  <c r="AD613" i="1" s="1"/>
  <c r="Y615" i="1"/>
  <c r="Y614" i="1" s="1"/>
  <c r="Y613" i="1" s="1"/>
  <c r="T615" i="1"/>
  <c r="T614" i="1" s="1"/>
  <c r="T613" i="1" s="1"/>
  <c r="AD611" i="1"/>
  <c r="AD610" i="1" s="1"/>
  <c r="AD609" i="1" s="1"/>
  <c r="Y611" i="1"/>
  <c r="Y610" i="1" s="1"/>
  <c r="Y609" i="1" s="1"/>
  <c r="T611" i="1"/>
  <c r="T610" i="1" s="1"/>
  <c r="T609" i="1" s="1"/>
  <c r="AD607" i="1"/>
  <c r="AD606" i="1" s="1"/>
  <c r="AD605" i="1" s="1"/>
  <c r="Y607" i="1"/>
  <c r="Y606" i="1" s="1"/>
  <c r="Y605" i="1" s="1"/>
  <c r="T607" i="1"/>
  <c r="T606" i="1" s="1"/>
  <c r="T605" i="1" s="1"/>
  <c r="AD603" i="1"/>
  <c r="AD602" i="1" s="1"/>
  <c r="Y603" i="1"/>
  <c r="Y602" i="1" s="1"/>
  <c r="T603" i="1"/>
  <c r="T602" i="1" s="1"/>
  <c r="AD600" i="1"/>
  <c r="AD599" i="1" s="1"/>
  <c r="Y600" i="1"/>
  <c r="Y599" i="1" s="1"/>
  <c r="T600" i="1"/>
  <c r="T599" i="1" s="1"/>
  <c r="AD592" i="1"/>
  <c r="AD591" i="1" s="1"/>
  <c r="AD590" i="1" s="1"/>
  <c r="Y592" i="1"/>
  <c r="Y591" i="1" s="1"/>
  <c r="Y590" i="1" s="1"/>
  <c r="T592" i="1"/>
  <c r="T591" i="1" s="1"/>
  <c r="T590" i="1" s="1"/>
  <c r="AD587" i="1"/>
  <c r="AD586" i="1" s="1"/>
  <c r="AD582" i="1" s="1"/>
  <c r="AD581" i="1" s="1"/>
  <c r="Y587" i="1"/>
  <c r="Y586" i="1" s="1"/>
  <c r="Y582" i="1" s="1"/>
  <c r="Y581" i="1" s="1"/>
  <c r="T587" i="1"/>
  <c r="T586" i="1" s="1"/>
  <c r="T584" i="1"/>
  <c r="T583" i="1" s="1"/>
  <c r="AD576" i="1"/>
  <c r="AD575" i="1" s="1"/>
  <c r="AD574" i="1" s="1"/>
  <c r="Y576" i="1"/>
  <c r="Y575" i="1" s="1"/>
  <c r="Y574" i="1" s="1"/>
  <c r="T576" i="1"/>
  <c r="T575" i="1" s="1"/>
  <c r="T574" i="1" s="1"/>
  <c r="T572" i="1"/>
  <c r="T571" i="1" s="1"/>
  <c r="T570" i="1" s="1"/>
  <c r="AD567" i="1"/>
  <c r="AD566" i="1" s="1"/>
  <c r="Y567" i="1"/>
  <c r="Y566" i="1" s="1"/>
  <c r="T567" i="1"/>
  <c r="T566" i="1" s="1"/>
  <c r="AD564" i="1"/>
  <c r="AD563" i="1" s="1"/>
  <c r="Y564" i="1"/>
  <c r="Y563" i="1" s="1"/>
  <c r="T564" i="1"/>
  <c r="T563" i="1" s="1"/>
  <c r="AD559" i="1"/>
  <c r="AD558" i="1" s="1"/>
  <c r="Y559" i="1"/>
  <c r="Y558" i="1" s="1"/>
  <c r="T559" i="1"/>
  <c r="T558" i="1" s="1"/>
  <c r="AH557" i="1"/>
  <c r="AG557" i="1"/>
  <c r="AF557" i="1"/>
  <c r="AE557" i="1"/>
  <c r="AD553" i="1"/>
  <c r="AD552" i="1" s="1"/>
  <c r="AD551" i="1" s="1"/>
  <c r="AD550" i="1" s="1"/>
  <c r="AD549" i="1" s="1"/>
  <c r="Y553" i="1"/>
  <c r="Y552" i="1" s="1"/>
  <c r="Y551" i="1" s="1"/>
  <c r="Y550" i="1" s="1"/>
  <c r="Y549" i="1" s="1"/>
  <c r="T553" i="1"/>
  <c r="T552" i="1" s="1"/>
  <c r="T551" i="1" s="1"/>
  <c r="T550" i="1" s="1"/>
  <c r="T549" i="1" s="1"/>
  <c r="AD547" i="1"/>
  <c r="AD546" i="1" s="1"/>
  <c r="AD545" i="1" s="1"/>
  <c r="Y547" i="1"/>
  <c r="Y546" i="1" s="1"/>
  <c r="Y545" i="1" s="1"/>
  <c r="T547" i="1"/>
  <c r="T546" i="1" s="1"/>
  <c r="T545" i="1" s="1"/>
  <c r="AD543" i="1"/>
  <c r="AD542" i="1" s="1"/>
  <c r="AD541" i="1" s="1"/>
  <c r="Y543" i="1"/>
  <c r="Y542" i="1" s="1"/>
  <c r="Y541" i="1" s="1"/>
  <c r="T543" i="1"/>
  <c r="T542" i="1" s="1"/>
  <c r="T541" i="1" s="1"/>
  <c r="AD539" i="1"/>
  <c r="AD538" i="1" s="1"/>
  <c r="AD537" i="1" s="1"/>
  <c r="Y539" i="1"/>
  <c r="Y538" i="1" s="1"/>
  <c r="Y537" i="1" s="1"/>
  <c r="T539" i="1"/>
  <c r="T538" i="1" s="1"/>
  <c r="T537" i="1" s="1"/>
  <c r="AD528" i="1"/>
  <c r="AD527" i="1" s="1"/>
  <c r="AD526" i="1" s="1"/>
  <c r="Y528" i="1"/>
  <c r="Y527" i="1" s="1"/>
  <c r="Y526" i="1" s="1"/>
  <c r="T528" i="1"/>
  <c r="T527" i="1" s="1"/>
  <c r="T526" i="1" s="1"/>
  <c r="T522" i="1"/>
  <c r="T521" i="1" s="1"/>
  <c r="T520" i="1" s="1"/>
  <c r="T519" i="1" s="1"/>
  <c r="AK519" i="1"/>
  <c r="AJ519" i="1"/>
  <c r="AI519" i="1"/>
  <c r="AD513" i="1"/>
  <c r="AD512" i="1" s="1"/>
  <c r="AD511" i="1" s="1"/>
  <c r="AD510" i="1" s="1"/>
  <c r="Y513" i="1"/>
  <c r="Y512" i="1" s="1"/>
  <c r="Y511" i="1" s="1"/>
  <c r="Y510" i="1" s="1"/>
  <c r="T513" i="1"/>
  <c r="T512" i="1" s="1"/>
  <c r="T511" i="1" s="1"/>
  <c r="T510" i="1" s="1"/>
  <c r="AD504" i="1"/>
  <c r="AD503" i="1" s="1"/>
  <c r="AD502" i="1" s="1"/>
  <c r="Y504" i="1"/>
  <c r="Y503" i="1" s="1"/>
  <c r="Y502" i="1" s="1"/>
  <c r="T504" i="1"/>
  <c r="AH503" i="1"/>
  <c r="AG503" i="1"/>
  <c r="AF503" i="1"/>
  <c r="T503" i="1"/>
  <c r="T502" i="1" s="1"/>
  <c r="AD500" i="1"/>
  <c r="AD499" i="1" s="1"/>
  <c r="AD498" i="1" s="1"/>
  <c r="Y500" i="1"/>
  <c r="Y499" i="1" s="1"/>
  <c r="Y498" i="1" s="1"/>
  <c r="T500" i="1"/>
  <c r="T499" i="1" s="1"/>
  <c r="T498" i="1" s="1"/>
  <c r="AD496" i="1"/>
  <c r="AD495" i="1" s="1"/>
  <c r="AD494" i="1" s="1"/>
  <c r="Y496" i="1"/>
  <c r="Y495" i="1" s="1"/>
  <c r="Y494" i="1" s="1"/>
  <c r="T496" i="1"/>
  <c r="T495" i="1" s="1"/>
  <c r="T494" i="1" s="1"/>
  <c r="AD492" i="1"/>
  <c r="AD491" i="1" s="1"/>
  <c r="AD490" i="1" s="1"/>
  <c r="Y492" i="1"/>
  <c r="Y491" i="1" s="1"/>
  <c r="Y490" i="1" s="1"/>
  <c r="T492" i="1"/>
  <c r="T491" i="1" s="1"/>
  <c r="T490" i="1" s="1"/>
  <c r="AD480" i="1"/>
  <c r="AD479" i="1" s="1"/>
  <c r="AD478" i="1" s="1"/>
  <c r="Y480" i="1"/>
  <c r="Y479" i="1" s="1"/>
  <c r="Y478" i="1" s="1"/>
  <c r="T480" i="1"/>
  <c r="T479" i="1" s="1"/>
  <c r="T478" i="1" s="1"/>
  <c r="AD474" i="1"/>
  <c r="Y474" i="1"/>
  <c r="T474" i="1"/>
  <c r="AD461" i="1"/>
  <c r="AD460" i="1" s="1"/>
  <c r="AD459" i="1" s="1"/>
  <c r="AD458" i="1" s="1"/>
  <c r="Y461" i="1"/>
  <c r="Y460" i="1" s="1"/>
  <c r="Y459" i="1" s="1"/>
  <c r="Y458" i="1" s="1"/>
  <c r="T461" i="1"/>
  <c r="T460" i="1" s="1"/>
  <c r="T459" i="1" s="1"/>
  <c r="T458" i="1" s="1"/>
  <c r="T456" i="1"/>
  <c r="T455" i="1" s="1"/>
  <c r="T454" i="1" s="1"/>
  <c r="AD452" i="1"/>
  <c r="AD451" i="1" s="1"/>
  <c r="AD450" i="1" s="1"/>
  <c r="Y452" i="1"/>
  <c r="Y451" i="1" s="1"/>
  <c r="Y450" i="1" s="1"/>
  <c r="T452" i="1"/>
  <c r="T451" i="1" s="1"/>
  <c r="T450" i="1" s="1"/>
  <c r="AD448" i="1"/>
  <c r="AD447" i="1" s="1"/>
  <c r="AD446" i="1" s="1"/>
  <c r="Y448" i="1"/>
  <c r="Y447" i="1" s="1"/>
  <c r="Y446" i="1" s="1"/>
  <c r="T448" i="1"/>
  <c r="T447" i="1" s="1"/>
  <c r="T446" i="1" s="1"/>
  <c r="AD444" i="1"/>
  <c r="AD443" i="1" s="1"/>
  <c r="AD442" i="1" s="1"/>
  <c r="Y444" i="1"/>
  <c r="Y443" i="1" s="1"/>
  <c r="Y442" i="1" s="1"/>
  <c r="T444" i="1"/>
  <c r="T443" i="1" s="1"/>
  <c r="T442" i="1" s="1"/>
  <c r="AD436" i="1"/>
  <c r="AD435" i="1" s="1"/>
  <c r="AD434" i="1" s="1"/>
  <c r="Y436" i="1"/>
  <c r="Y435" i="1" s="1"/>
  <c r="Y434" i="1" s="1"/>
  <c r="T436" i="1"/>
  <c r="T435" i="1" s="1"/>
  <c r="T434" i="1" s="1"/>
  <c r="AD427" i="1"/>
  <c r="AD426" i="1" s="1"/>
  <c r="AD425" i="1" s="1"/>
  <c r="Y427" i="1"/>
  <c r="Y426" i="1" s="1"/>
  <c r="Y425" i="1" s="1"/>
  <c r="T427" i="1"/>
  <c r="T426" i="1" s="1"/>
  <c r="T425" i="1" s="1"/>
  <c r="AD423" i="1"/>
  <c r="AD422" i="1" s="1"/>
  <c r="Y423" i="1"/>
  <c r="Y422" i="1" s="1"/>
  <c r="T423" i="1"/>
  <c r="T422" i="1" s="1"/>
  <c r="AD420" i="1"/>
  <c r="AD419" i="1" s="1"/>
  <c r="Y420" i="1"/>
  <c r="Y419" i="1" s="1"/>
  <c r="T420" i="1"/>
  <c r="T419" i="1" s="1"/>
  <c r="AD416" i="1"/>
  <c r="AD415" i="1" s="1"/>
  <c r="AD414" i="1" s="1"/>
  <c r="Y416" i="1"/>
  <c r="Y415" i="1" s="1"/>
  <c r="Y414" i="1" s="1"/>
  <c r="T416" i="1"/>
  <c r="T415" i="1" s="1"/>
  <c r="T414" i="1" s="1"/>
  <c r="AD410" i="1"/>
  <c r="AD409" i="1" s="1"/>
  <c r="Y410" i="1"/>
  <c r="Y409" i="1" s="1"/>
  <c r="T410" i="1"/>
  <c r="T409" i="1" s="1"/>
  <c r="AD407" i="1"/>
  <c r="AD406" i="1" s="1"/>
  <c r="Y407" i="1"/>
  <c r="Y406" i="1" s="1"/>
  <c r="T407" i="1"/>
  <c r="T406" i="1" s="1"/>
  <c r="AD402" i="1"/>
  <c r="AD401" i="1" s="1"/>
  <c r="Y402" i="1"/>
  <c r="Y401" i="1" s="1"/>
  <c r="T402" i="1"/>
  <c r="T401" i="1" s="1"/>
  <c r="AK398" i="1"/>
  <c r="AJ398" i="1"/>
  <c r="AI398" i="1"/>
  <c r="AD395" i="1"/>
  <c r="AD394" i="1" s="1"/>
  <c r="AD393" i="1" s="1"/>
  <c r="AD392" i="1" s="1"/>
  <c r="Y395" i="1"/>
  <c r="Y394" i="1" s="1"/>
  <c r="Y393" i="1" s="1"/>
  <c r="Y392" i="1" s="1"/>
  <c r="T395" i="1"/>
  <c r="T394" i="1" s="1"/>
  <c r="T393" i="1" s="1"/>
  <c r="T392" i="1" s="1"/>
  <c r="AH394" i="1"/>
  <c r="AG394" i="1"/>
  <c r="AF394" i="1"/>
  <c r="AD390" i="1"/>
  <c r="AD389" i="1" s="1"/>
  <c r="Y390" i="1"/>
  <c r="Y389" i="1" s="1"/>
  <c r="T390" i="1"/>
  <c r="T389" i="1" s="1"/>
  <c r="AD387" i="1"/>
  <c r="AD386" i="1" s="1"/>
  <c r="Y387" i="1"/>
  <c r="Y386" i="1" s="1"/>
  <c r="T387" i="1"/>
  <c r="T386" i="1" s="1"/>
  <c r="AK385" i="1"/>
  <c r="AJ385" i="1"/>
  <c r="AI385" i="1"/>
  <c r="AH385" i="1"/>
  <c r="AG385" i="1"/>
  <c r="AF385" i="1"/>
  <c r="AK384" i="1"/>
  <c r="AJ384" i="1"/>
  <c r="AI384" i="1"/>
  <c r="AD383" i="1"/>
  <c r="AD382" i="1" s="1"/>
  <c r="Y383" i="1"/>
  <c r="Y382" i="1" s="1"/>
  <c r="T383" i="1"/>
  <c r="T382" i="1" s="1"/>
  <c r="AD380" i="1"/>
  <c r="AD379" i="1" s="1"/>
  <c r="Y380" i="1"/>
  <c r="Y379" i="1" s="1"/>
  <c r="T380" i="1"/>
  <c r="T379" i="1" s="1"/>
  <c r="AK376" i="1"/>
  <c r="AJ376" i="1"/>
  <c r="AI376" i="1"/>
  <c r="AD371" i="1"/>
  <c r="AD370" i="1" s="1"/>
  <c r="AD369" i="1" s="1"/>
  <c r="Y371" i="1"/>
  <c r="Y370" i="1" s="1"/>
  <c r="Y369" i="1" s="1"/>
  <c r="T371" i="1"/>
  <c r="T370" i="1" s="1"/>
  <c r="T369" i="1" s="1"/>
  <c r="AD367" i="1"/>
  <c r="AD366" i="1" s="1"/>
  <c r="AD365" i="1" s="1"/>
  <c r="Y367" i="1"/>
  <c r="Y366" i="1" s="1"/>
  <c r="Y365" i="1" s="1"/>
  <c r="T367" i="1"/>
  <c r="T366" i="1" s="1"/>
  <c r="T365" i="1" s="1"/>
  <c r="AD361" i="1"/>
  <c r="Y361" i="1"/>
  <c r="T361" i="1"/>
  <c r="T359" i="1"/>
  <c r="AD358" i="1"/>
  <c r="Y358" i="1"/>
  <c r="AD356" i="1"/>
  <c r="AD355" i="1" s="1"/>
  <c r="Y356" i="1"/>
  <c r="Y355" i="1" s="1"/>
  <c r="T356" i="1"/>
  <c r="T355" i="1" s="1"/>
  <c r="AD351" i="1"/>
  <c r="AD350" i="1" s="1"/>
  <c r="Y351" i="1"/>
  <c r="Y350" i="1" s="1"/>
  <c r="T351" i="1"/>
  <c r="T350" i="1" s="1"/>
  <c r="AD347" i="1"/>
  <c r="AD346" i="1" s="1"/>
  <c r="Y347" i="1"/>
  <c r="Y346" i="1" s="1"/>
  <c r="T347" i="1"/>
  <c r="T346" i="1" s="1"/>
  <c r="AD343" i="1"/>
  <c r="AD342" i="1" s="1"/>
  <c r="Y343" i="1"/>
  <c r="Y342" i="1" s="1"/>
  <c r="T343" i="1"/>
  <c r="T342" i="1" s="1"/>
  <c r="AD337" i="1"/>
  <c r="AD336" i="1" s="1"/>
  <c r="AD335" i="1" s="1"/>
  <c r="AD334" i="1" s="1"/>
  <c r="AD333" i="1" s="1"/>
  <c r="Y337" i="1"/>
  <c r="Y336" i="1" s="1"/>
  <c r="Y335" i="1" s="1"/>
  <c r="Y334" i="1" s="1"/>
  <c r="Y333" i="1" s="1"/>
  <c r="T337" i="1"/>
  <c r="T336" i="1" s="1"/>
  <c r="T335" i="1" s="1"/>
  <c r="T334" i="1" s="1"/>
  <c r="T333" i="1" s="1"/>
  <c r="AD330" i="1"/>
  <c r="AD329" i="1" s="1"/>
  <c r="AD328" i="1" s="1"/>
  <c r="Y330" i="1"/>
  <c r="Y329" i="1" s="1"/>
  <c r="Y328" i="1" s="1"/>
  <c r="T330" i="1"/>
  <c r="T329" i="1" s="1"/>
  <c r="T328" i="1" s="1"/>
  <c r="AD326" i="1"/>
  <c r="AD325" i="1" s="1"/>
  <c r="AD324" i="1" s="1"/>
  <c r="Y326" i="1"/>
  <c r="Y325" i="1" s="1"/>
  <c r="Y324" i="1" s="1"/>
  <c r="T326" i="1"/>
  <c r="T325" i="1" s="1"/>
  <c r="T324" i="1" s="1"/>
  <c r="T319" i="1"/>
  <c r="T318" i="1" s="1"/>
  <c r="T317" i="1" s="1"/>
  <c r="T315" i="1"/>
  <c r="T314" i="1" s="1"/>
  <c r="T313" i="1" s="1"/>
  <c r="T311" i="1"/>
  <c r="T310" i="1" s="1"/>
  <c r="T309" i="1" s="1"/>
  <c r="AD307" i="1"/>
  <c r="AD306" i="1" s="1"/>
  <c r="AD305" i="1" s="1"/>
  <c r="Y307" i="1"/>
  <c r="Y306" i="1" s="1"/>
  <c r="Y305" i="1" s="1"/>
  <c r="T307" i="1"/>
  <c r="T306" i="1" s="1"/>
  <c r="T305" i="1" s="1"/>
  <c r="AK305" i="1"/>
  <c r="AJ305" i="1"/>
  <c r="AI305" i="1"/>
  <c r="AD299" i="1"/>
  <c r="AD298" i="1" s="1"/>
  <c r="AD297" i="1" s="1"/>
  <c r="Y299" i="1"/>
  <c r="Y298" i="1" s="1"/>
  <c r="Y297" i="1" s="1"/>
  <c r="T299" i="1"/>
  <c r="T298" i="1" s="1"/>
  <c r="T297" i="1" s="1"/>
  <c r="AD295" i="1"/>
  <c r="AD294" i="1" s="1"/>
  <c r="AD293" i="1" s="1"/>
  <c r="Y295" i="1"/>
  <c r="Y294" i="1" s="1"/>
  <c r="Y293" i="1" s="1"/>
  <c r="T295" i="1"/>
  <c r="T294" i="1" s="1"/>
  <c r="T293" i="1" s="1"/>
  <c r="Y291" i="1"/>
  <c r="Y290" i="1" s="1"/>
  <c r="Y289" i="1" s="1"/>
  <c r="AD289" i="1"/>
  <c r="T289" i="1"/>
  <c r="AK287" i="1"/>
  <c r="AK293" i="1" s="1"/>
  <c r="AJ287" i="1"/>
  <c r="AJ293" i="1" s="1"/>
  <c r="AI287" i="1"/>
  <c r="AI293" i="1" s="1"/>
  <c r="AH287" i="1"/>
  <c r="AG287" i="1"/>
  <c r="AF287" i="1"/>
  <c r="AD285" i="1"/>
  <c r="AD284" i="1" s="1"/>
  <c r="Y285" i="1"/>
  <c r="Y284" i="1" s="1"/>
  <c r="T285" i="1"/>
  <c r="T284" i="1" s="1"/>
  <c r="AD282" i="1"/>
  <c r="AD281" i="1" s="1"/>
  <c r="Y282" i="1"/>
  <c r="Y281" i="1" s="1"/>
  <c r="T282" i="1"/>
  <c r="T281" i="1" s="1"/>
  <c r="AK281" i="1"/>
  <c r="AJ281" i="1"/>
  <c r="AI281" i="1"/>
  <c r="AH281" i="1"/>
  <c r="AG281" i="1"/>
  <c r="AF281" i="1"/>
  <c r="AD273" i="1"/>
  <c r="AD272" i="1" s="1"/>
  <c r="AD271" i="1" s="1"/>
  <c r="Y273" i="1"/>
  <c r="Y272" i="1" s="1"/>
  <c r="Y271" i="1" s="1"/>
  <c r="T273" i="1"/>
  <c r="T272" i="1" s="1"/>
  <c r="T271" i="1" s="1"/>
  <c r="T269" i="1"/>
  <c r="T267" i="1"/>
  <c r="T264" i="1"/>
  <c r="T263" i="1" s="1"/>
  <c r="AD260" i="1"/>
  <c r="AD259" i="1" s="1"/>
  <c r="AD258" i="1" s="1"/>
  <c r="Y260" i="1"/>
  <c r="Y259" i="1" s="1"/>
  <c r="Y258" i="1" s="1"/>
  <c r="T260" i="1"/>
  <c r="T259" i="1" s="1"/>
  <c r="T258" i="1" s="1"/>
  <c r="AD256" i="1"/>
  <c r="AD255" i="1" s="1"/>
  <c r="AD254" i="1" s="1"/>
  <c r="Y256" i="1"/>
  <c r="Y255" i="1" s="1"/>
  <c r="Y254" i="1" s="1"/>
  <c r="T256" i="1"/>
  <c r="T255" i="1" s="1"/>
  <c r="T254" i="1" s="1"/>
  <c r="AD252" i="1"/>
  <c r="AD251" i="1" s="1"/>
  <c r="AD250" i="1" s="1"/>
  <c r="Y252" i="1"/>
  <c r="Y251" i="1" s="1"/>
  <c r="Y250" i="1" s="1"/>
  <c r="T252" i="1"/>
  <c r="T251" i="1" s="1"/>
  <c r="T250" i="1" s="1"/>
  <c r="T248" i="1"/>
  <c r="T247" i="1" s="1"/>
  <c r="T246" i="1" s="1"/>
  <c r="T245" i="1" s="1"/>
  <c r="T243" i="1"/>
  <c r="T242" i="1" s="1"/>
  <c r="T241" i="1" s="1"/>
  <c r="T240" i="1" s="1"/>
  <c r="T238" i="1"/>
  <c r="T237" i="1" s="1"/>
  <c r="T236" i="1" s="1"/>
  <c r="T235" i="1" s="1"/>
  <c r="T233" i="1"/>
  <c r="T232" i="1" s="1"/>
  <c r="T231" i="1" s="1"/>
  <c r="T230" i="1" s="1"/>
  <c r="AD228" i="1"/>
  <c r="AD227" i="1" s="1"/>
  <c r="Y228" i="1"/>
  <c r="Y227" i="1" s="1"/>
  <c r="T228" i="1"/>
  <c r="T227" i="1" s="1"/>
  <c r="AD225" i="1"/>
  <c r="AD224" i="1" s="1"/>
  <c r="Y225" i="1"/>
  <c r="Y224" i="1" s="1"/>
  <c r="T225" i="1"/>
  <c r="T224" i="1" s="1"/>
  <c r="AD221" i="1"/>
  <c r="AD220" i="1" s="1"/>
  <c r="Y221" i="1"/>
  <c r="Y220" i="1" s="1"/>
  <c r="T221" i="1"/>
  <c r="T220" i="1" s="1"/>
  <c r="AD218" i="1"/>
  <c r="AD217" i="1" s="1"/>
  <c r="Y218" i="1"/>
  <c r="Y217" i="1" s="1"/>
  <c r="T218" i="1"/>
  <c r="T217" i="1" s="1"/>
  <c r="AD214" i="1"/>
  <c r="AD213" i="1" s="1"/>
  <c r="AD212" i="1" s="1"/>
  <c r="Y214" i="1"/>
  <c r="Y213" i="1" s="1"/>
  <c r="Y212" i="1" s="1"/>
  <c r="T214" i="1"/>
  <c r="T213" i="1" s="1"/>
  <c r="T212" i="1" s="1"/>
  <c r="AD210" i="1"/>
  <c r="Y210" i="1"/>
  <c r="T210" i="1"/>
  <c r="AD208" i="1"/>
  <c r="Y208" i="1"/>
  <c r="T208" i="1"/>
  <c r="AD205" i="1"/>
  <c r="AD204" i="1" s="1"/>
  <c r="Y205" i="1"/>
  <c r="Y204" i="1" s="1"/>
  <c r="T205" i="1"/>
  <c r="T204" i="1" s="1"/>
  <c r="T202" i="1"/>
  <c r="T201" i="1" s="1"/>
  <c r="AD196" i="1"/>
  <c r="Y196" i="1"/>
  <c r="T196" i="1"/>
  <c r="AD194" i="1"/>
  <c r="Y194" i="1"/>
  <c r="T194" i="1"/>
  <c r="T193" i="1" s="1"/>
  <c r="AD191" i="1"/>
  <c r="AD190" i="1" s="1"/>
  <c r="Y191" i="1"/>
  <c r="Y190" i="1" s="1"/>
  <c r="T191" i="1"/>
  <c r="T190" i="1" s="1"/>
  <c r="T187" i="1"/>
  <c r="T186" i="1" s="1"/>
  <c r="T185" i="1" s="1"/>
  <c r="AD183" i="1"/>
  <c r="AD182" i="1" s="1"/>
  <c r="AD181" i="1" s="1"/>
  <c r="Y183" i="1"/>
  <c r="Y182" i="1" s="1"/>
  <c r="Y181" i="1" s="1"/>
  <c r="T183" i="1"/>
  <c r="T182" i="1" s="1"/>
  <c r="T181" i="1" s="1"/>
  <c r="T179" i="1"/>
  <c r="T178" i="1" s="1"/>
  <c r="T177" i="1" s="1"/>
  <c r="T175" i="1"/>
  <c r="T174" i="1" s="1"/>
  <c r="AD172" i="1"/>
  <c r="AD171" i="1" s="1"/>
  <c r="Y172" i="1"/>
  <c r="Y171" i="1" s="1"/>
  <c r="T172" i="1"/>
  <c r="T171" i="1" s="1"/>
  <c r="AD169" i="1"/>
  <c r="AD168" i="1" s="1"/>
  <c r="Y169" i="1"/>
  <c r="Y168" i="1" s="1"/>
  <c r="T169" i="1"/>
  <c r="T168" i="1" s="1"/>
  <c r="AD159" i="1"/>
  <c r="AD158" i="1" s="1"/>
  <c r="AD157" i="1" s="1"/>
  <c r="Y159" i="1"/>
  <c r="Y158" i="1" s="1"/>
  <c r="Y157" i="1" s="1"/>
  <c r="T159" i="1"/>
  <c r="T158" i="1" s="1"/>
  <c r="T157" i="1" s="1"/>
  <c r="AD155" i="1"/>
  <c r="AD154" i="1" s="1"/>
  <c r="AD153" i="1" s="1"/>
  <c r="Y155" i="1"/>
  <c r="Y154" i="1" s="1"/>
  <c r="Y153" i="1" s="1"/>
  <c r="T155" i="1"/>
  <c r="T154" i="1" s="1"/>
  <c r="T153" i="1" s="1"/>
  <c r="AD151" i="1"/>
  <c r="AD150" i="1" s="1"/>
  <c r="AD149" i="1" s="1"/>
  <c r="Y151" i="1"/>
  <c r="Y150" i="1" s="1"/>
  <c r="Y149" i="1" s="1"/>
  <c r="T151" i="1"/>
  <c r="T150" i="1" s="1"/>
  <c r="T149" i="1" s="1"/>
  <c r="AD147" i="1"/>
  <c r="AD146" i="1" s="1"/>
  <c r="AD145" i="1" s="1"/>
  <c r="Y147" i="1"/>
  <c r="Y146" i="1" s="1"/>
  <c r="Y145" i="1" s="1"/>
  <c r="T147" i="1"/>
  <c r="T146" i="1" s="1"/>
  <c r="T145" i="1" s="1"/>
  <c r="AD143" i="1"/>
  <c r="AD142" i="1" s="1"/>
  <c r="AD141" i="1" s="1"/>
  <c r="Y143" i="1"/>
  <c r="Y142" i="1" s="1"/>
  <c r="Y141" i="1" s="1"/>
  <c r="T143" i="1"/>
  <c r="T142" i="1" s="1"/>
  <c r="T141" i="1" s="1"/>
  <c r="AD139" i="1"/>
  <c r="AD138" i="1" s="1"/>
  <c r="AD137" i="1" s="1"/>
  <c r="Y139" i="1"/>
  <c r="Y138" i="1" s="1"/>
  <c r="Y137" i="1" s="1"/>
  <c r="T139" i="1"/>
  <c r="T138" i="1" s="1"/>
  <c r="T137" i="1" s="1"/>
  <c r="AD131" i="1"/>
  <c r="AD130" i="1" s="1"/>
  <c r="AD129" i="1" s="1"/>
  <c r="Y131" i="1"/>
  <c r="Y130" i="1" s="1"/>
  <c r="Y129" i="1" s="1"/>
  <c r="T131" i="1"/>
  <c r="T130" i="1" s="1"/>
  <c r="T129" i="1" s="1"/>
  <c r="AK130" i="1"/>
  <c r="AJ130" i="1"/>
  <c r="AI130" i="1"/>
  <c r="AK127" i="1"/>
  <c r="AJ127" i="1"/>
  <c r="AI127" i="1"/>
  <c r="AD127" i="1"/>
  <c r="AD126" i="1" s="1"/>
  <c r="Y127" i="1"/>
  <c r="Y126" i="1" s="1"/>
  <c r="T127" i="1"/>
  <c r="T126" i="1" s="1"/>
  <c r="AH126" i="1"/>
  <c r="AG126" i="1"/>
  <c r="AF126" i="1"/>
  <c r="AK124" i="1"/>
  <c r="AJ124" i="1"/>
  <c r="AI124" i="1"/>
  <c r="AD122" i="1"/>
  <c r="AD121" i="1" s="1"/>
  <c r="Y122" i="1"/>
  <c r="Y121" i="1" s="1"/>
  <c r="T122" i="1"/>
  <c r="T121" i="1" s="1"/>
  <c r="AL121" i="1"/>
  <c r="AK121" i="1"/>
  <c r="AJ121" i="1"/>
  <c r="AI121" i="1"/>
  <c r="AH121" i="1"/>
  <c r="AG121" i="1"/>
  <c r="AF121" i="1"/>
  <c r="AE120" i="1"/>
  <c r="AD118" i="1"/>
  <c r="AD117" i="1" s="1"/>
  <c r="AD116" i="1" s="1"/>
  <c r="Y118" i="1"/>
  <c r="Y117" i="1" s="1"/>
  <c r="Y116" i="1" s="1"/>
  <c r="T118" i="1"/>
  <c r="T117" i="1" s="1"/>
  <c r="T116" i="1" s="1"/>
  <c r="AD114" i="1"/>
  <c r="AD113" i="1" s="1"/>
  <c r="AD112" i="1" s="1"/>
  <c r="Y114" i="1"/>
  <c r="Y113" i="1" s="1"/>
  <c r="Y112" i="1" s="1"/>
  <c r="T114" i="1"/>
  <c r="T113" i="1" s="1"/>
  <c r="T112" i="1" s="1"/>
  <c r="AD110" i="1"/>
  <c r="AD109" i="1" s="1"/>
  <c r="AD108" i="1" s="1"/>
  <c r="Y110" i="1"/>
  <c r="Y109" i="1" s="1"/>
  <c r="Y108" i="1" s="1"/>
  <c r="T110" i="1"/>
  <c r="T109" i="1" s="1"/>
  <c r="T108" i="1" s="1"/>
  <c r="AD106" i="1"/>
  <c r="AD104" i="1" s="1"/>
  <c r="Y106" i="1"/>
  <c r="Y104" i="1" s="1"/>
  <c r="T106" i="1"/>
  <c r="T104" i="1" s="1"/>
  <c r="AH104" i="1"/>
  <c r="AG104" i="1"/>
  <c r="AF104" i="1"/>
  <c r="AE104" i="1"/>
  <c r="T102" i="1"/>
  <c r="T101" i="1" s="1"/>
  <c r="AD99" i="1"/>
  <c r="AD98" i="1" s="1"/>
  <c r="AD97" i="1" s="1"/>
  <c r="Y99" i="1"/>
  <c r="Y98" i="1" s="1"/>
  <c r="Y97" i="1" s="1"/>
  <c r="T99" i="1"/>
  <c r="T98" i="1" s="1"/>
  <c r="T95" i="1"/>
  <c r="T94" i="1" s="1"/>
  <c r="AD94" i="1"/>
  <c r="Y94" i="1"/>
  <c r="AD92" i="1"/>
  <c r="Y92" i="1"/>
  <c r="T92" i="1"/>
  <c r="AD90" i="1"/>
  <c r="Y90" i="1"/>
  <c r="T90" i="1"/>
  <c r="AD87" i="1"/>
  <c r="AD86" i="1" s="1"/>
  <c r="Y87" i="1"/>
  <c r="Y86" i="1" s="1"/>
  <c r="T87" i="1"/>
  <c r="T86" i="1" s="1"/>
  <c r="AD82" i="1"/>
  <c r="AD81" i="1" s="1"/>
  <c r="Y82" i="1"/>
  <c r="Y81" i="1" s="1"/>
  <c r="T82" i="1"/>
  <c r="T81" i="1" s="1"/>
  <c r="AD76" i="1"/>
  <c r="AD75" i="1" s="1"/>
  <c r="AD74" i="1" s="1"/>
  <c r="Y76" i="1"/>
  <c r="Y75" i="1" s="1"/>
  <c r="Y74" i="1" s="1"/>
  <c r="T75" i="1"/>
  <c r="T74" i="1" s="1"/>
  <c r="AD68" i="1"/>
  <c r="AD67" i="1" s="1"/>
  <c r="AD66" i="1" s="1"/>
  <c r="Y68" i="1"/>
  <c r="Y67" i="1" s="1"/>
  <c r="Y66" i="1" s="1"/>
  <c r="T68" i="1"/>
  <c r="T67" i="1" s="1"/>
  <c r="T66" i="1" s="1"/>
  <c r="AD64" i="1"/>
  <c r="AD63" i="1" s="1"/>
  <c r="AD62" i="1" s="1"/>
  <c r="Y64" i="1"/>
  <c r="Y63" i="1" s="1"/>
  <c r="Y62" i="1" s="1"/>
  <c r="T64" i="1"/>
  <c r="T63" i="1" s="1"/>
  <c r="T62" i="1" s="1"/>
  <c r="AD60" i="1"/>
  <c r="AD59" i="1" s="1"/>
  <c r="Y60" i="1"/>
  <c r="Y59" i="1" s="1"/>
  <c r="T60" i="1"/>
  <c r="T59" i="1" s="1"/>
  <c r="AD56" i="1"/>
  <c r="AD55" i="1" s="1"/>
  <c r="Y56" i="1"/>
  <c r="Y55" i="1" s="1"/>
  <c r="T56" i="1"/>
  <c r="T55" i="1" s="1"/>
  <c r="AD52" i="1"/>
  <c r="Y52" i="1"/>
  <c r="T52" i="1"/>
  <c r="AD50" i="1"/>
  <c r="Y50" i="1"/>
  <c r="T50" i="1"/>
  <c r="AD46" i="1"/>
  <c r="AD45" i="1" s="1"/>
  <c r="AD44" i="1" s="1"/>
  <c r="Y46" i="1"/>
  <c r="Y45" i="1" s="1"/>
  <c r="Y44" i="1" s="1"/>
  <c r="T46" i="1"/>
  <c r="T45" i="1" s="1"/>
  <c r="T44" i="1" s="1"/>
  <c r="AD42" i="1"/>
  <c r="AD41" i="1" s="1"/>
  <c r="Y42" i="1"/>
  <c r="Y41" i="1" s="1"/>
  <c r="T42" i="1"/>
  <c r="T41" i="1" s="1"/>
  <c r="AD37" i="1"/>
  <c r="AD36" i="1" s="1"/>
  <c r="Y37" i="1"/>
  <c r="Y36" i="1" s="1"/>
  <c r="T37" i="1"/>
  <c r="T36" i="1" s="1"/>
  <c r="AH33" i="1"/>
  <c r="AG33" i="1"/>
  <c r="AF33" i="1"/>
  <c r="AE33" i="1"/>
  <c r="AD33" i="1"/>
  <c r="AD32" i="1" s="1"/>
  <c r="AD31" i="1" s="1"/>
  <c r="Y33" i="1"/>
  <c r="Y32" i="1" s="1"/>
  <c r="Y31" i="1" s="1"/>
  <c r="T33" i="1"/>
  <c r="T32" i="1" s="1"/>
  <c r="T31" i="1" s="1"/>
  <c r="AD29" i="1"/>
  <c r="AD28" i="1" s="1"/>
  <c r="AD27" i="1" s="1"/>
  <c r="Y29" i="1"/>
  <c r="Y28" i="1" s="1"/>
  <c r="Y27" i="1" s="1"/>
  <c r="T29" i="1"/>
  <c r="T28" i="1" s="1"/>
  <c r="T27" i="1" s="1"/>
  <c r="AD25" i="1"/>
  <c r="AD24" i="1" s="1"/>
  <c r="AD23" i="1" s="1"/>
  <c r="Y25" i="1"/>
  <c r="Y24" i="1" s="1"/>
  <c r="Y23" i="1" s="1"/>
  <c r="T25" i="1"/>
  <c r="T24" i="1" s="1"/>
  <c r="T23" i="1" s="1"/>
  <c r="AL24" i="1"/>
  <c r="AK24" i="1"/>
  <c r="AJ24" i="1"/>
  <c r="AI24" i="1"/>
  <c r="AK21" i="1"/>
  <c r="AJ21" i="1"/>
  <c r="AI21" i="1"/>
  <c r="AD21" i="1"/>
  <c r="AD20" i="1" s="1"/>
  <c r="Y21" i="1"/>
  <c r="Y20" i="1" s="1"/>
  <c r="T21" i="1"/>
  <c r="T20" i="1" s="1"/>
  <c r="AK17" i="1"/>
  <c r="AJ17" i="1"/>
  <c r="AI17" i="1"/>
  <c r="AD17" i="1"/>
  <c r="AD16" i="1" s="1"/>
  <c r="Y17" i="1"/>
  <c r="Y16" i="1" s="1"/>
  <c r="T17" i="1"/>
  <c r="T16" i="1" s="1"/>
  <c r="AH15" i="1"/>
  <c r="AG15" i="1"/>
  <c r="AF15" i="1"/>
  <c r="AE15" i="1"/>
  <c r="AK13" i="1"/>
  <c r="AJ13" i="1"/>
  <c r="AI13" i="1"/>
  <c r="T189" i="1" l="1"/>
  <c r="T667" i="1"/>
  <c r="T418" i="1"/>
  <c r="T805" i="1"/>
  <c r="T804" i="1" s="1"/>
  <c r="T803" i="1" s="1"/>
  <c r="Y805" i="1"/>
  <c r="Y804" i="1" s="1"/>
  <c r="Y803" i="1" s="1"/>
  <c r="T666" i="1"/>
  <c r="T207" i="1"/>
  <c r="AG120" i="1"/>
  <c r="AG14" i="1" s="1"/>
  <c r="I332" i="1"/>
  <c r="I11" i="1" s="1"/>
  <c r="AD433" i="1"/>
  <c r="AD432" i="1" s="1"/>
  <c r="T433" i="1"/>
  <c r="T432" i="1" s="1"/>
  <c r="T473" i="1"/>
  <c r="T472" i="1" s="1"/>
  <c r="T471" i="1" s="1"/>
  <c r="Y433" i="1"/>
  <c r="Y432" i="1" s="1"/>
  <c r="T525" i="1"/>
  <c r="T524" i="1" s="1"/>
  <c r="AD525" i="1"/>
  <c r="AD524" i="1" s="1"/>
  <c r="Y525" i="1"/>
  <c r="Y524" i="1" s="1"/>
  <c r="AD473" i="1"/>
  <c r="AD472" i="1" s="1"/>
  <c r="Y473" i="1"/>
  <c r="Y472" i="1" s="1"/>
  <c r="T49" i="1"/>
  <c r="T48" i="1" s="1"/>
  <c r="Y644" i="1"/>
  <c r="Y643" i="1" s="1"/>
  <c r="Y642" i="1" s="1"/>
  <c r="AH120" i="1"/>
  <c r="AH14" i="1" s="1"/>
  <c r="Y49" i="1"/>
  <c r="Y48" i="1" s="1"/>
  <c r="AE14" i="1"/>
  <c r="AD193" i="1"/>
  <c r="AD189" i="1" s="1"/>
  <c r="AD207" i="1"/>
  <c r="AD200" i="1" s="1"/>
  <c r="I430" i="1"/>
  <c r="AD418" i="1"/>
  <c r="AD740" i="1"/>
  <c r="AD739" i="1" s="1"/>
  <c r="AD738" i="1" s="1"/>
  <c r="AD737" i="1" s="1"/>
  <c r="AD790" i="1"/>
  <c r="AD789" i="1" s="1"/>
  <c r="AD788" i="1" s="1"/>
  <c r="T223" i="1"/>
  <c r="T850" i="1"/>
  <c r="T266" i="1"/>
  <c r="T262" i="1" s="1"/>
  <c r="AD897" i="1"/>
  <c r="Y89" i="1"/>
  <c r="Y80" i="1" s="1"/>
  <c r="T358" i="1"/>
  <c r="T349" i="1" s="1"/>
  <c r="AD89" i="1"/>
  <c r="AD80" i="1" s="1"/>
  <c r="T728" i="1"/>
  <c r="T726" i="1" s="1"/>
  <c r="AD728" i="1"/>
  <c r="AD727" i="1" s="1"/>
  <c r="AD850" i="1"/>
  <c r="Y378" i="1"/>
  <c r="Y598" i="1"/>
  <c r="Y589" i="1" s="1"/>
  <c r="T385" i="1"/>
  <c r="T598" i="1"/>
  <c r="T589" i="1" s="1"/>
  <c r="Y418" i="1"/>
  <c r="AD385" i="1"/>
  <c r="AD536" i="1"/>
  <c r="AD535" i="1" s="1"/>
  <c r="AD782" i="1"/>
  <c r="AD781" i="1"/>
  <c r="AD780" i="1" s="1"/>
  <c r="T557" i="1"/>
  <c r="T556" i="1" s="1"/>
  <c r="T555" i="1" s="1"/>
  <c r="T89" i="1"/>
  <c r="T80" i="1" s="1"/>
  <c r="AF120" i="1"/>
  <c r="AF14" i="1" s="1"/>
  <c r="Y193" i="1"/>
  <c r="Y189" i="1" s="1"/>
  <c r="Y207" i="1"/>
  <c r="Y200" i="1" s="1"/>
  <c r="AD400" i="1"/>
  <c r="Y868" i="1"/>
  <c r="Y861" i="1" s="1"/>
  <c r="AD49" i="1"/>
  <c r="AD48" i="1" s="1"/>
  <c r="T97" i="1"/>
  <c r="AD120" i="1"/>
  <c r="AD280" i="1"/>
  <c r="AD378" i="1"/>
  <c r="Y557" i="1"/>
  <c r="Y556" i="1" s="1"/>
  <c r="Y555" i="1" s="1"/>
  <c r="T644" i="1"/>
  <c r="T643" i="1" s="1"/>
  <c r="T748" i="1"/>
  <c r="T740" i="1" s="1"/>
  <c r="T739" i="1" s="1"/>
  <c r="T738" i="1" s="1"/>
  <c r="T737" i="1" s="1"/>
  <c r="T15" i="1"/>
  <c r="T35" i="1"/>
  <c r="T54" i="1"/>
  <c r="T200" i="1"/>
  <c r="Y341" i="1"/>
  <c r="AD349" i="1"/>
  <c r="AD598" i="1"/>
  <c r="AD589" i="1" s="1"/>
  <c r="AD868" i="1"/>
  <c r="AD861" i="1" s="1"/>
  <c r="T341" i="1"/>
  <c r="T378" i="1"/>
  <c r="AD167" i="1"/>
  <c r="Y223" i="1"/>
  <c r="Y349" i="1"/>
  <c r="Y385" i="1"/>
  <c r="Y400" i="1"/>
  <c r="AD323" i="1"/>
  <c r="AD322" i="1" s="1"/>
  <c r="AD321" i="1" s="1"/>
  <c r="AD216" i="1"/>
  <c r="AD223" i="1"/>
  <c r="T280" i="1"/>
  <c r="T216" i="1"/>
  <c r="Y216" i="1"/>
  <c r="AD54" i="1"/>
  <c r="Y120" i="1"/>
  <c r="AD35" i="1"/>
  <c r="AD15" i="1"/>
  <c r="Y167" i="1"/>
  <c r="Y280" i="1"/>
  <c r="Y35" i="1"/>
  <c r="Y54" i="1"/>
  <c r="T167" i="1"/>
  <c r="T323" i="1"/>
  <c r="T322" i="1" s="1"/>
  <c r="T321" i="1" s="1"/>
  <c r="AD341" i="1"/>
  <c r="T400" i="1"/>
  <c r="Y536" i="1"/>
  <c r="Y535" i="1" s="1"/>
  <c r="T120" i="1"/>
  <c r="Y15" i="1"/>
  <c r="Y323" i="1"/>
  <c r="Y322" i="1" s="1"/>
  <c r="Y321" i="1" s="1"/>
  <c r="T536" i="1"/>
  <c r="T535" i="1" s="1"/>
  <c r="AD557" i="1"/>
  <c r="AD556" i="1" s="1"/>
  <c r="AD555" i="1" s="1"/>
  <c r="T707" i="1"/>
  <c r="T702" i="1" s="1"/>
  <c r="T701" i="1" s="1"/>
  <c r="T700" i="1" s="1"/>
  <c r="T781" i="1"/>
  <c r="T780" i="1" s="1"/>
  <c r="T782" i="1"/>
  <c r="T790" i="1"/>
  <c r="T789" i="1" s="1"/>
  <c r="T788" i="1" s="1"/>
  <c r="T582" i="1"/>
  <c r="T581" i="1" s="1"/>
  <c r="Y726" i="1"/>
  <c r="Y727" i="1"/>
  <c r="AD644" i="1"/>
  <c r="AD643" i="1" s="1"/>
  <c r="AD702" i="1"/>
  <c r="AD701" i="1" s="1"/>
  <c r="AD700" i="1" s="1"/>
  <c r="Y740" i="1"/>
  <c r="Y739" i="1" s="1"/>
  <c r="Y738" i="1" s="1"/>
  <c r="Y737" i="1" s="1"/>
  <c r="Y850" i="1"/>
  <c r="T868" i="1"/>
  <c r="T861" i="1" s="1"/>
  <c r="Y897" i="1"/>
  <c r="Y702" i="1"/>
  <c r="Y701" i="1" s="1"/>
  <c r="Y700" i="1" s="1"/>
  <c r="Y665" i="1" s="1"/>
  <c r="T758" i="1"/>
  <c r="Y782" i="1"/>
  <c r="Y781" i="1"/>
  <c r="Y780" i="1" s="1"/>
  <c r="Y790" i="1"/>
  <c r="Y789" i="1" s="1"/>
  <c r="Y788" i="1" s="1"/>
  <c r="AD804" i="1"/>
  <c r="AD803" i="1" s="1"/>
  <c r="AD471" i="1" l="1"/>
  <c r="AD470" i="1" s="1"/>
  <c r="AD431" i="1" s="1"/>
  <c r="T470" i="1"/>
  <c r="Y471" i="1"/>
  <c r="Y470" i="1" s="1"/>
  <c r="Y431" i="1" s="1"/>
  <c r="AD14" i="1"/>
  <c r="AD13" i="1" s="1"/>
  <c r="AD12" i="1" s="1"/>
  <c r="Y14" i="1"/>
  <c r="Y13" i="1" s="1"/>
  <c r="Y12" i="1" s="1"/>
  <c r="T14" i="1"/>
  <c r="T13" i="1" s="1"/>
  <c r="T12" i="1" s="1"/>
  <c r="T665" i="1"/>
  <c r="AD726" i="1"/>
  <c r="AD665" i="1" s="1"/>
  <c r="T727" i="1"/>
  <c r="AD580" i="1"/>
  <c r="AD579" i="1" s="1"/>
  <c r="Y580" i="1"/>
  <c r="Y579" i="1" s="1"/>
  <c r="I904" i="1"/>
  <c r="Y399" i="1"/>
  <c r="Y398" i="1" s="1"/>
  <c r="Y397" i="1" s="1"/>
  <c r="AD399" i="1"/>
  <c r="AD398" i="1" s="1"/>
  <c r="AD397" i="1" s="1"/>
  <c r="Y534" i="1"/>
  <c r="T845" i="1"/>
  <c r="AD845" i="1"/>
  <c r="T399" i="1"/>
  <c r="T398" i="1" s="1"/>
  <c r="T397" i="1" s="1"/>
  <c r="Y641" i="1"/>
  <c r="Y377" i="1"/>
  <c r="Y376" i="1" s="1"/>
  <c r="Y375" i="1" s="1"/>
  <c r="AD377" i="1"/>
  <c r="AD376" i="1" s="1"/>
  <c r="AD375" i="1" s="1"/>
  <c r="T377" i="1"/>
  <c r="T376" i="1" s="1"/>
  <c r="T375" i="1" s="1"/>
  <c r="AD340" i="1"/>
  <c r="AD339" i="1" s="1"/>
  <c r="Y340" i="1"/>
  <c r="Y339" i="1" s="1"/>
  <c r="T641" i="1"/>
  <c r="T642" i="1"/>
  <c r="T534" i="1"/>
  <c r="T431" i="1"/>
  <c r="T340" i="1"/>
  <c r="T339" i="1" s="1"/>
  <c r="AD642" i="1"/>
  <c r="AD641" i="1"/>
  <c r="Y845" i="1"/>
  <c r="T580" i="1"/>
  <c r="T579" i="1" s="1"/>
  <c r="AD534" i="1"/>
  <c r="T430" i="1" l="1"/>
  <c r="T332" i="1"/>
  <c r="T11" i="1" s="1"/>
  <c r="Y430" i="1"/>
  <c r="AD332" i="1"/>
  <c r="AD11" i="1" s="1"/>
  <c r="AD430" i="1"/>
  <c r="Y332" i="1"/>
  <c r="Y11" i="1" s="1"/>
  <c r="T904" i="1" l="1"/>
  <c r="T909" i="1" s="1"/>
  <c r="Y904" i="1"/>
  <c r="Y906" i="1" s="1"/>
  <c r="AD904" i="1"/>
  <c r="AD909" i="1" s="1"/>
  <c r="Y909" i="1" l="1"/>
  <c r="AD906" i="1"/>
  <c r="T906" i="1"/>
</calcChain>
</file>

<file path=xl/sharedStrings.xml><?xml version="1.0" encoding="utf-8"?>
<sst xmlns="http://schemas.openxmlformats.org/spreadsheetml/2006/main" count="2475" uniqueCount="370">
  <si>
    <t>на 2020 год и на плановый период  2021 и 2022 годов</t>
  </si>
  <si>
    <t>(рублей)</t>
  </si>
  <si>
    <t>Наименование</t>
  </si>
  <si>
    <t>ГП</t>
  </si>
  <si>
    <t>ППГП</t>
  </si>
  <si>
    <t>ОМ</t>
  </si>
  <si>
    <t>ГРБС</t>
  </si>
  <si>
    <t>НР</t>
  </si>
  <si>
    <t>ВР</t>
  </si>
  <si>
    <t>2020 год</t>
  </si>
  <si>
    <t>2021 год</t>
  </si>
  <si>
    <t>2022 год</t>
  </si>
  <si>
    <t>1</t>
  </si>
  <si>
    <t>2</t>
  </si>
  <si>
    <t>3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</si>
  <si>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</si>
  <si>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01</t>
  </si>
  <si>
    <t>Подпрограмма "Выполнение функций Клинцовской городской администрации" (2015 - 2020 годы)</t>
  </si>
  <si>
    <t>Подпрограмма "Выполнение функций Клинцовской городской администрации" (2015 - 2022 годы)</t>
  </si>
  <si>
    <t>Эффективное руководство и управление в сфере установленных функций</t>
  </si>
  <si>
    <t>Клинцовская городская администрация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</si>
  <si>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</si>
  <si>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</si>
  <si>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</si>
  <si>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</si>
  <si>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</si>
  <si>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</si>
  <si>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</si>
  <si>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</si>
  <si>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</si>
  <si>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</si>
  <si>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</si>
  <si>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</si>
  <si>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/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</si>
  <si>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</si>
  <si>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</si>
  <si>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</si>
  <si>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</si>
  <si>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</si>
  <si>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сохранности жилых помещений, закрепленных за детьми-сиротами и детьми, оставшимися без попечения родителей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</si>
  <si>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</si>
  <si>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</si>
  <si>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</si>
  <si>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</si>
  <si>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</si>
  <si>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</si>
  <si>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</si>
  <si>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</si>
  <si>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</si>
  <si>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</si>
  <si>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</si>
  <si>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</si>
  <si>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</si>
  <si>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пособия при всех формах устройства детей, лишенных родительского попечения, в семью</t>
  </si>
  <si>
    <t>Обеспечение деятельности Главы Клинцовской городской администрации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</si>
  <si>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</si>
  <si>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Руководство и управление в сфере установленных функций органов местного самоуправления</t>
  </si>
  <si>
    <t>100</t>
  </si>
  <si>
    <t>120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</si>
  <si>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</si>
  <si>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</si>
  <si>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</si>
  <si>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Уплата налогов,сборов и иных платежей</t>
  </si>
  <si>
    <t>Уплата иных платежей</t>
  </si>
  <si>
    <t>Обеспечение деятельности в сфере установленных функций органов местного самоуправления</t>
  </si>
  <si>
    <t>Обеспечение проведения выборов и референдумов</t>
  </si>
  <si>
    <t>Специальные расходы</t>
  </si>
  <si>
    <t>Информационное обеспечение деятельности органов местного самоуправления</t>
  </si>
  <si>
    <t>Организация и проведение выборов и референдумов</t>
  </si>
  <si>
    <t>Общеобразовательные организации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</si>
  <si>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</si>
  <si>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</si>
  <si>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</si>
  <si>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Организации дополнительного образования </t>
  </si>
  <si>
    <t>Библиотеки</t>
  </si>
  <si>
    <t>Обеспечение деятельности учреждений, оказывающих услуги в сфере культуры - МБУ Дом культуры</t>
  </si>
  <si>
    <t>Дворцы и дома культуры, клубы, выставочные залы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</si>
  <si>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</si>
  <si>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Учреждения, обеспечивающие деятельность органов местного самоуправления и муниципальных учреждений</t>
  </si>
  <si>
    <t>Расходы на выплаты персоналу казенных учреждений</t>
  </si>
  <si>
    <t>110</t>
  </si>
  <si>
    <t xml:space="preserve">Фонд оплаты труда казенных учреждений </t>
  </si>
  <si>
    <t>Иные выплаты персоналу учреждений, за исключением фонда оплаты тркда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</si>
  <si>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</si>
  <si>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Противодействие злоупотреблению наркотиками и их незаконному обороту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</si>
  <si>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</si>
  <si>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</si>
  <si>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</si>
  <si>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</si>
  <si>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</si>
  <si>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</si>
  <si>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</si>
  <si>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</si>
  <si>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коммунального хозяйства</t>
  </si>
  <si>
    <t>Бюджетные инвестиции в объекты капитального строительства государственной (муниципальной) собственности</t>
  </si>
  <si>
    <t>Мероприятия в сфере жилищного хозяйства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</si>
  <si>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</si>
  <si>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Приобретение специализированной техники для предприятий жилищно-коммунального хозяйства</t>
  </si>
  <si>
    <t>Прочие мероприятия в области жилищно-коммунального хазяйства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</si>
  <si>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</si>
  <si>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</si>
  <si>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 Российской Федерации и мировых соглашений по возмещению причиненного вреда</t>
  </si>
  <si>
    <t>Мероприятия по развитию физической культуры и спорта</t>
  </si>
  <si>
    <t>Иные выплаты, за исключением фонда оплаты труда казенных учреждений,  лицам, привлекаемым согласно законодательству для выполнения отдельных полномочий</t>
  </si>
  <si>
    <t>Уплата налогов, сборов и платежей</t>
  </si>
  <si>
    <t>Уплата иных плптежей</t>
  </si>
  <si>
    <t>Мероприятия по работе с семьей, детьми и молодежью</t>
  </si>
  <si>
    <t xml:space="preserve">Мероприятия по развитию культуры </t>
  </si>
  <si>
    <t>Субсидии бюджетным учреждениям на иные цели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</si>
  <si>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</si>
  <si>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Мероприятия по улучшению условий охраны труда</t>
  </si>
  <si>
    <t>пр</t>
  </si>
  <si>
    <t>Комитет по управлению имуществом г.Клинцы</t>
  </si>
  <si>
    <t>Контрольно-счетная палата города Клинцы</t>
  </si>
  <si>
    <t>Клинцовский городской Совет народных депутатов</t>
  </si>
  <si>
    <t>Финансовое управление Клинцовской городской администрации</t>
  </si>
  <si>
    <t>Выплата муниципальных пенсий (доплат к государственным пенсиям)</t>
  </si>
  <si>
    <t>300</t>
  </si>
  <si>
    <t>321</t>
  </si>
  <si>
    <t>Организация и проведение праздничных мероприятий и других мероприятий по вопросам местного знпчения</t>
  </si>
  <si>
    <t>Поддержка малого и среднего предпринимательства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</si>
  <si>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</si>
  <si>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</si>
  <si>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</si>
  <si>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Исполнение исковых требований на основании вступивших в законную силу судебных актов, обязательств бюджета</t>
  </si>
  <si>
    <t>Обеспечение мероприятий по охране окружающей среды на территории городского округа " город Клинцы Брянской области"</t>
  </si>
  <si>
    <t>Мероприятия в сфере охраны окружающей среды</t>
  </si>
  <si>
    <t>Уплата налогов, сборов и иных обязательных платежей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</si>
  <si>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</si>
  <si>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</si>
  <si>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>800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</si>
  <si>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</si>
  <si>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</si>
  <si>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</si>
  <si>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</si>
  <si>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Меропрпиятия на государственную поддержку отрасли культуры для муниципальных образовательных организаций в рамках проекта "Культурная среда" государственной программы "Развитие культуры и туризма в Брянской области"</t>
  </si>
  <si>
    <t>А1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</si>
  <si>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</si>
  <si>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R0820</t>
  </si>
  <si>
    <t>Реализация мероприятий на обустройство и восстановление воинских захоранений, находящихся в государственной (муниципальной) собственности государственной программы "Региональная политика Брянской области"</t>
  </si>
  <si>
    <t>R2990</t>
  </si>
  <si>
    <t>Софинансирование объектов капитальных вложений муниципальной собственности</t>
  </si>
  <si>
    <t>S1270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</si>
  <si>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</si>
  <si>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S4240</t>
  </si>
  <si>
    <t>Реализация программ (проектов) инициативного бюджетирования</t>
  </si>
  <si>
    <t>S5870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</si>
  <si>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</si>
  <si>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I5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</si>
  <si>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</si>
  <si>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"Создание многофункционального центра предоставления государственных и муниципальных услуг" (2015-2022 годы)</t>
  </si>
  <si>
    <t>Материальное обеспечение создания многофункционального центра предоставления муниципальных услуг (МФЦ)</t>
  </si>
  <si>
    <t>Обеспечение деятельности многофункционального центра</t>
  </si>
  <si>
    <t>Многофункциональные центры предоставления государственных и муниципальных услуг</t>
  </si>
  <si>
    <t>Предоставление субсидии бюджетным, автономным учреждениям и иным некоммерческим организациям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</si>
  <si>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</si>
  <si>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(2015-2022 годы)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</si>
  <si>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</si>
  <si>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 xml:space="preserve">Обеспечение мероприятий по пожарной безопасности </t>
  </si>
  <si>
    <t>Мероприятия в сфере пожарной безопасности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</si>
  <si>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</si>
  <si>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Единые дежукрно-диспетчерские службы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</si>
  <si>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</si>
  <si>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</si>
  <si>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Иные выплаты персоналу казенных учреждений, за исключением фонда оплаты труда</t>
  </si>
  <si>
    <t>Оповещение населения об опасностях, возникших при ведении военных действий и возникновении чрезвычайных ситуаций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</si>
  <si>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</si>
  <si>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Снижение уровня преступности на территории города Клинцы</t>
  </si>
  <si>
    <t>Обеспечение мероприятий по профилактике терроризма и экстремизма на территории городского округа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</si>
  <si>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</si>
  <si>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</si>
  <si>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Совершенствование системы профилактики правонарушений и усиление борьбы с преступностью</t>
  </si>
  <si>
    <t>Иные выплаты, за исключением фонда оплаты труда государственных (муниципальных) органов лицам, привлекаемым законодательству для выполнения отдельных полномочий</t>
  </si>
  <si>
    <t>Отдел образования Клинцовской городской администрации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</si>
  <si>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</si>
  <si>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«Управление муниципальной собственностью городского округа «город Клинцы Брянской области» (2015-2022 годы)</t>
  </si>
  <si>
    <t>О2</t>
  </si>
  <si>
    <t>Обеспечение функционирования системы учета муниципального имущества и контроля за его использованием</t>
  </si>
  <si>
    <t>Комитет по управлению имуществом города Клинцы</t>
  </si>
  <si>
    <t>Оценка имущества, признание прав и урегулирование отношений по государственной и муниципальной собственности</t>
  </si>
  <si>
    <t>Оценка имущества, признание прав и регулирование отношений муниципальной собственности</t>
  </si>
  <si>
    <t>Муниципальная программа «Совершенствование системы образования г. Клинцы» (2015-2020 годы)</t>
  </si>
  <si>
    <t>Муниципальная программа «Совершенствование системы образования г. Клинцы» (2015-2022 годы)</t>
  </si>
  <si>
    <t>О3</t>
  </si>
  <si>
    <t>Подпрограмма «Реализация образовательных программ» (2015 – 2020 годы)</t>
  </si>
  <si>
    <t>Подпрограмма «Реализация образовательных программ» (2015 – 2022 годы)</t>
  </si>
  <si>
    <t>Обеспечение доступности услуг дошкольного образования для детей дошкольного возраста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</si>
  <si>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</si>
  <si>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Дошкольные образовательные организации</t>
  </si>
  <si>
    <t>Организация питания в образовательных организациях</t>
  </si>
  <si>
    <t>Создание доступной среды для граждан-инвалидов за счет средств местного бюджета</t>
  </si>
  <si>
    <t>L0270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</si>
  <si>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</si>
  <si>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</si>
  <si>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</si>
  <si>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Бюджетные инвестиции в объекты капитального строительства муниципальной собственности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</si>
  <si>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</si>
  <si>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Подпрограмма «Управление в сфере образования» (2015- 2020 годы)</t>
  </si>
  <si>
    <t>Подпрограмма «Управление в сфере образования» (2015- 2022 годы)</t>
  </si>
  <si>
    <t>Совершенствование порядка предоставления муниципальных услуг и выполнения муниципальных функций в сфере образования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</si>
  <si>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</si>
  <si>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Учреждения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</si>
  <si>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</si>
  <si>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Создание механизмов для повышения эффективности бюджетных расходов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</si>
  <si>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</si>
  <si>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</si>
  <si>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Фонд оплаты труда государственных (муниципальных органов)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</si>
  <si>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</si>
  <si>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Уплата прочих налогов, сборов и иных платежей</t>
  </si>
  <si>
    <t>Уплата  иных платежей</t>
  </si>
  <si>
    <t>Подпрограмма «Обеспечение функционирования системы образования г. Клинцы» (2015- 2020 годы)</t>
  </si>
  <si>
    <t>Подпрограмма «Обеспечение функционирования системы образования г. Клинцы» (2015- 2022 годы)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</si>
  <si>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</si>
  <si>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функционирования системы образования</t>
  </si>
  <si>
    <t>Мероприятия по развитию образования</t>
  </si>
  <si>
    <t>Прочая закупка товаров, работ и услуг для обеспечения  государственных (муниципальных) нужд</t>
  </si>
  <si>
    <t>Мероприятия по проведению оздоровительной кампании детей</t>
  </si>
  <si>
    <t>Дополнительные меры государственной поддержки обучающихся</t>
  </si>
  <si>
    <t xml:space="preserve">Организация временного трудоустройства несовершеннолетних граждан в возрасте от 14 до 18 лет </t>
  </si>
  <si>
    <t>Мероприятия по проведению оздоровительной кампании детей за счет средств местного бюджета</t>
  </si>
  <si>
    <t>S4790</t>
  </si>
  <si>
    <t>Отдельные мероприятия по развитию образования</t>
  </si>
  <si>
    <t>Отдельные мероприятия по развитию образования за счет средств местного бюджета</t>
  </si>
  <si>
    <t>S4820</t>
  </si>
  <si>
    <t>Капитальный ремонт кровель муниципальных образовательных организаций Брянской области</t>
  </si>
  <si>
    <t>S4850</t>
  </si>
  <si>
    <t>Замена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</si>
  <si>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S4860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</si>
  <si>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</si>
  <si>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Муниципальная программа «Управление муниципальными финансами городского округа «город Клинцы Брянской области» (2015-2022 годы)</t>
  </si>
  <si>
    <t>О4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</si>
  <si>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</si>
  <si>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Руководство и управление в сфере установленны функций органов местного самоуправления</t>
  </si>
  <si>
    <t xml:space="preserve">Обслуживание государственного (муниципального) внутреннего долга </t>
  </si>
  <si>
    <t>Обслуживание муниципального долга</t>
  </si>
  <si>
    <t>Обслуживание государственного (муниципального) долга</t>
  </si>
  <si>
    <t>700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</si>
  <si>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</si>
  <si>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05</t>
  </si>
  <si>
    <t>Приобретение специализированной техники для предприятий жилищно-коммунального хозяйства за счет средств местного бюджета</t>
  </si>
  <si>
    <t>S3430</t>
  </si>
  <si>
    <t>Приобретение специализированной техники для предприятий жилищно-коммунального комплекса</t>
  </si>
  <si>
    <t>Подпрограмма "Чистая вода на территории городского округа "город Клинцы Брянской области" (2016-2020 годы)</t>
  </si>
  <si>
    <t>Увеличение объема использования подземных вод для обеспечения населения городского округа питьевой водой</t>
  </si>
  <si>
    <t>Обеспечение населения чистой питьевой водой</t>
  </si>
  <si>
    <t>Строительство и реконструкция (модернизация) объектов питьевого водоснабжения</t>
  </si>
  <si>
    <t>G5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</si>
  <si>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</si>
  <si>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Софинансирование объектов капитальных вложений муниципальной собственности за счет средств местного бюджета</t>
  </si>
  <si>
    <t xml:space="preserve">Софинансирование объектов капитальных вложений муниципальной собственности 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</si>
  <si>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</si>
  <si>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</si>
  <si>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Подготовка объектов ЖКХ к зиме</t>
  </si>
  <si>
    <t>S3450</t>
  </si>
  <si>
    <t>Закупка товаров, работ, услуг в целях капитального ремонта государственного (муниципального) имущества</t>
  </si>
  <si>
    <t>Повышение энергетической эффективности и обеспечение энергосбережения</t>
  </si>
  <si>
    <t xml:space="preserve">Повышение энергетической эффективности и обеспечения энергосбережения </t>
  </si>
  <si>
    <t>Подпрограмма "Повышение безопасности дорожного движения в городском округе "город Клинцы Брянской области" в 2016-2020 годах"</t>
  </si>
  <si>
    <t>Улучшение условий движения транспортных средств и пешеходов</t>
  </si>
  <si>
    <t>Обеспечение мероприятий по повышению безопасности дорожного движения в городском округе</t>
  </si>
  <si>
    <t>Повышение безопасности дорожного движения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</si>
  <si>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</si>
  <si>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</si>
  <si>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</si>
  <si>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Обеспечение сохранности автомобильных дорог местного значения и условий безопасности движения по ним за счет средств местного бюджета</t>
  </si>
  <si>
    <t>S6170</t>
  </si>
  <si>
    <t>Формирование комфортной городской среды на территории городского округа "город Клинцы Брянской области на 2017 год"</t>
  </si>
  <si>
    <t>Формирование комфортной городской среды на территории городского округа "город Клинцы Брянской области на 2016-2022 годы"</t>
  </si>
  <si>
    <t>Прочие мероприятия по формированию современной городской среды</t>
  </si>
  <si>
    <t>Мероприятия по благоустройству дворовых территорий за счет безвозмездных поступлений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</si>
  <si>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</si>
  <si>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</si>
  <si>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</si>
  <si>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R5550</t>
  </si>
  <si>
    <t>"Повышение качества водоснабжения на территории городского округа "город Клинцы Брянской области" (2019-2024 годы)"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</si>
  <si>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</si>
  <si>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06</t>
  </si>
  <si>
    <t>Подпрограмма "Обеспечение жильем молодых семей" (на 2016-2020 годы)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</si>
  <si>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</si>
  <si>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</si>
  <si>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Мероприятия  подпрограммы «Обеспечение жильем молодых семей» федеральной целевой программы «Жилище» на 2016- 2024 годы за счет средств местного бюджета</t>
  </si>
  <si>
    <t>L4970</t>
  </si>
  <si>
    <t>Формирование современной городской среды городского округа "город Клинцы Брянской области" на 2018-2024годы</t>
  </si>
  <si>
    <t>07</t>
  </si>
  <si>
    <t>Повышение уровня благоустройства нуждающихся в благоустройстве территорий общего пользованиянаселения городского округа "город Клинцы Брянской области", а также дворовых территорий многоквартирных домов</t>
  </si>
  <si>
    <t>Реализация программ формирования современной городской среды</t>
  </si>
  <si>
    <t>F2</t>
  </si>
  <si>
    <t>55550</t>
  </si>
  <si>
    <t xml:space="preserve">Мероприятия по благоустройству </t>
  </si>
  <si>
    <t>81730</t>
  </si>
  <si>
    <t>81890</t>
  </si>
  <si>
    <t>Муниципальная адресная программа "Переселение граждан из аварийного жилищного фонда на территории городского округа "город Клинцы Брянской области" (2019-2024 годы)</t>
  </si>
  <si>
    <t>08</t>
  </si>
  <si>
    <t>Финансовое и организационное обеспечение переселения граждан из аварийных многоквартирных домов, при условии того, что органы местного самоуправления обеспечивают выполнение определенных Федеральным законом показателей реформирования жилищно-коммунального хозяйства</t>
  </si>
  <si>
    <t>Мероприятия по переселению граждан из аварийного жилищного фонда</t>
  </si>
  <si>
    <t>81880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</si>
  <si>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развития малоэтажного строительства</t>
  </si>
  <si>
    <t>F3</t>
  </si>
  <si>
    <t>09502</t>
  </si>
  <si>
    <t>09602</t>
  </si>
  <si>
    <t>Непрограммная деятельность</t>
  </si>
  <si>
    <t>00</t>
  </si>
  <si>
    <t>Резервный фонд местной администрации</t>
  </si>
  <si>
    <t>Иные выплаты населению</t>
  </si>
  <si>
    <t>Контольно-счетная палата города Клинцы</t>
  </si>
  <si>
    <t>Обеспечение деятельности руководителя контрольно-счетного органа муниципального образования и его заместителей</t>
  </si>
  <si>
    <t xml:space="preserve">Обеспечение деятельности депутатов представительного органа муниципального образования </t>
  </si>
  <si>
    <t>Социальные выплаты лицам, удостоенным звания почетного гражданина муниципального образования</t>
  </si>
  <si>
    <t>Условно утвержденные расходы</t>
  </si>
  <si>
    <t>Резервные средства</t>
  </si>
  <si>
    <t>Резервный фонд Клинцовской городской администрации</t>
  </si>
  <si>
    <t>Итого:</t>
  </si>
  <si>
    <t>Глава города  Клинцы</t>
  </si>
  <si>
    <t xml:space="preserve"> </t>
  </si>
  <si>
    <t>О.П. Шкуратов</t>
  </si>
  <si>
    <t>L2990</t>
  </si>
  <si>
    <t>E1</t>
  </si>
  <si>
    <t>P2</t>
  </si>
  <si>
    <t>Субсидии бюджетным и автономныи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</si>
  <si>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</si>
  <si>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,</t>
  </si>
  <si>
    <t>Подпрограмма "Совершенствование системы профилактики правонарушений и усиление борьбы с преступностью в городе Клинцы" (2015-2022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</si>
  <si>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(2016-2024 годы)</t>
  </si>
  <si>
    <t>Подпрограмма "Чистая вода на территории городского округа "город Клинцы Брянской области" (2016-2022 годы)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</si>
  <si>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(2016-2020годы)</t>
  </si>
  <si>
    <t>Подпрограмма "Повышение безопасности дорожного движения в городском округе "город Клинцы Брянской области" в 2016-2024 годах"</t>
  </si>
  <si>
    <t>Муниципальная программа "Реализация полномочий в сфере жилищной политики городского округа "город Клинцы Брянской области" (2016-2024 годы)</t>
  </si>
  <si>
    <t>Подпрограмма "Обеспечение жильем молодых семей" (на 2016-2024 годы)</t>
  </si>
  <si>
    <t>Изменение бюджетных ассигнований</t>
  </si>
  <si>
    <t>29 01 2020</t>
  </si>
  <si>
    <t>Мероапиятия по развитию физической культуры и спорта</t>
  </si>
  <si>
    <t xml:space="preserve">                                    Распределение расходов бюджета городского округа город Клинцы Брянской области по целевым статьям (муниципальным программам и непрограммным направлениям деятельности), группам и подгруппам видов расходов </t>
  </si>
  <si>
    <t>Благоустройство зданий и территорий муниципальных образовательных организаций моногородов</t>
  </si>
  <si>
    <t>S4870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</si>
  <si>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</si>
  <si>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S4900</t>
  </si>
  <si>
    <t xml:space="preserve">Приложение 8                                                                                                                                          
к решению Клинцовского городского Совета народных депутатов  от 11.12.2019 года №7-49 "О бюджете городского округа город Клинцы Брянской области на 2020год и на плановый период 2021 и 2022 годов"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</si>
  <si>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развития малоэтажного строительства, поступивших от Фонда содействия реформированию жилищно-коммунального хозяйства</t>
  </si>
  <si>
    <t>67483</t>
  </si>
  <si>
    <t>67484</t>
  </si>
  <si>
    <t>6748S</t>
  </si>
  <si>
    <t>Отдельные мероприятия по развитию спорта</t>
  </si>
  <si>
    <t>S7640</t>
  </si>
  <si>
    <t>Проведение Всероссийской переписи населения 2020 года</t>
  </si>
  <si>
    <t>08 04 2020</t>
  </si>
  <si>
    <t>Изменение бюджетных ассигнований 08 04 2020</t>
  </si>
  <si>
    <t>Изменение бюджетных ассигнований 06 05 2020</t>
  </si>
  <si>
    <t>Мероприятия, направленные на профилактику и устранение последствий  распостранения коронавирусной инфекции</t>
  </si>
  <si>
    <t>Изменение бюджетных ассигнований 15 05 2020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</si>
  <si>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развития малоэтажного строительства за счет средств бюджетов субъектов Российской федерации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</si>
  <si>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развития малоэтажного строительства за счет седств местного бюджета</t>
  </si>
  <si>
    <t>Изменение бюджетных ассигнований 17 06 2020</t>
  </si>
  <si>
    <t>Мероприятия в сфере архитектуры и градостроительства</t>
  </si>
  <si>
    <t>Научно-исследовательские и опытно-конструкторские работы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</si>
  <si>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</si>
  <si>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70</t>
  </si>
  <si>
    <t>W0</t>
  </si>
  <si>
    <t>58530</t>
  </si>
  <si>
    <t xml:space="preserve"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Правмтельства Российской Федерации </t>
  </si>
  <si>
    <t>Изменение бюджетных ассигнований 31 08 2020</t>
  </si>
  <si>
    <t>Изменение бюджетных ассигнований 31 07 2020</t>
  </si>
  <si>
    <t>Реализация полномочий исполнительного органа местного самоуправления городского округа "город Клинцы Брянской области" (2015-2022 годы)</t>
  </si>
  <si>
    <t>Изменение бюджетных ассигнований 12 08 2020</t>
  </si>
  <si>
    <t>Субсидии на софинансирование капитальных вложений в объекты государственной (муниципальной) собственности</t>
  </si>
  <si>
    <t>Ежемесячное денежное вознаграждение за классное руководство педагогических работников государственных и муниципальных общеобразовательных организаций</t>
  </si>
  <si>
    <t>Организация горячего бесплатного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</si>
  <si>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</si>
  <si>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</si>
  <si>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Приложение 8.9                                                                                                                                   
к решению Клинцовского городского Совета народных депутатов от 23.09.2020г. №  7-131 "О внесении изменений и дополнений в решение Клинцовского городского Совета народных депутатов от 11.12.2019 года №7-49" О бюджете городского округа город Клинцы Брянской области на 2020 год и на плановый период 2021 и 2022 годов" (с изменениями и дополнениями)</t>
  </si>
  <si>
    <t>Изменение бюджетных ассигнований 23 09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</si>
</sst>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family val="2"/>
    </font>
    <font>
      <b/>
      <sz val="10"/>
      <color rgb="FF000000"/>
      <name val="Arial Cyr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2">
      <alignment horizontal="center" vertical="center" wrapText="1"/>
    </xf>
    <xf numFmtId="0" fontId="4" fillId="0" borderId="2">
      <alignment vertical="top" wrapText="1"/>
    </xf>
    <xf numFmtId="0" fontId="8" fillId="0" borderId="2">
      <alignment vertical="top" wrapText="1"/>
    </xf>
  </cellStyleXfs>
  <cellXfs count="82">
    <xf numFmtId="0" fontId="0" fillId="0" borderId="0" xfId="0"/>
    <xf numFmtId="49" fontId="5" fillId="2" borderId="0" xfId="0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justify" vertical="center" wrapText="1"/>
    </xf>
    <xf numFmtId="49" fontId="6" fillId="2" borderId="1" xfId="0" quotePrefix="1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justify" vertical="center" wrapText="1"/>
    </xf>
    <xf numFmtId="0" fontId="6" fillId="2" borderId="1" xfId="0" applyNumberFormat="1" applyFont="1" applyFill="1" applyBorder="1" applyAlignment="1">
      <alignment horizontal="justify" vertical="center" wrapText="1"/>
    </xf>
    <xf numFmtId="0" fontId="5" fillId="2" borderId="0" xfId="0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center" wrapText="1"/>
    </xf>
    <xf numFmtId="4" fontId="5" fillId="2" borderId="0" xfId="0" applyNumberFormat="1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top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vertical="top" wrapText="1"/>
    </xf>
    <xf numFmtId="4" fontId="5" fillId="2" borderId="0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top" wrapText="1"/>
    </xf>
    <xf numFmtId="49" fontId="5" fillId="2" borderId="0" xfId="0" applyNumberFormat="1" applyFont="1" applyFill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justify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4" applyNumberFormat="1" applyFont="1" applyFill="1" applyBorder="1" applyAlignment="1" applyProtection="1">
      <alignment horizontal="justify" vertical="center" wrapText="1"/>
    </xf>
    <xf numFmtId="0" fontId="5" fillId="2" borderId="2" xfId="4" applyNumberFormat="1" applyFont="1" applyFill="1" applyAlignment="1" applyProtection="1">
      <alignment vertical="center" wrapText="1"/>
      <protection locked="0"/>
    </xf>
    <xf numFmtId="0" fontId="5" fillId="2" borderId="1" xfId="4" applyNumberFormat="1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49" fontId="6" fillId="2" borderId="0" xfId="0" applyNumberFormat="1" applyFont="1" applyFill="1" applyAlignment="1">
      <alignment horizontal="justify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6" fillId="2" borderId="1" xfId="2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justify" wrapText="1"/>
    </xf>
    <xf numFmtId="49" fontId="5" fillId="2" borderId="1" xfId="0" applyNumberFormat="1" applyFont="1" applyFill="1" applyBorder="1" applyAlignment="1">
      <alignment horizontal="justify" vertical="top"/>
    </xf>
    <xf numFmtId="0" fontId="7" fillId="2" borderId="2" xfId="3" applyNumberFormat="1" applyFont="1" applyFill="1" applyAlignment="1" applyProtection="1">
      <alignment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justify" wrapText="1"/>
    </xf>
    <xf numFmtId="49" fontId="6" fillId="2" borderId="1" xfId="0" applyNumberFormat="1" applyFont="1" applyFill="1" applyBorder="1" applyAlignment="1">
      <alignment horizontal="justify" vertical="top" wrapText="1"/>
    </xf>
    <xf numFmtId="0" fontId="9" fillId="2" borderId="0" xfId="0" applyFont="1" applyFill="1" applyAlignment="1">
      <alignment vertical="top" wrapText="1"/>
    </xf>
    <xf numFmtId="0" fontId="5" fillId="2" borderId="2" xfId="4" applyNumberFormat="1" applyFont="1" applyFill="1" applyProtection="1">
      <alignment vertical="top" wrapText="1"/>
      <protection locked="0"/>
    </xf>
    <xf numFmtId="0" fontId="6" fillId="2" borderId="2" xfId="4" applyNumberFormat="1" applyFont="1" applyFill="1" applyProtection="1">
      <alignment vertical="top" wrapText="1"/>
      <protection locked="0"/>
    </xf>
    <xf numFmtId="49" fontId="10" fillId="2" borderId="0" xfId="0" applyNumberFormat="1" applyFont="1" applyFill="1" applyAlignment="1">
      <alignment horizontal="justify" vertical="center" wrapText="1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right" vertical="top" wrapText="1"/>
    </xf>
    <xf numFmtId="4" fontId="10" fillId="2" borderId="0" xfId="0" applyNumberFormat="1" applyFont="1" applyFill="1" applyAlignment="1">
      <alignment horizontal="right" vertical="top" wrapText="1"/>
    </xf>
    <xf numFmtId="4" fontId="10" fillId="2" borderId="0" xfId="0" applyNumberFormat="1" applyFont="1" applyFill="1" applyAlignment="1">
      <alignment horizontal="right" vertical="center" wrapText="1"/>
    </xf>
    <xf numFmtId="4" fontId="10" fillId="2" borderId="0" xfId="0" applyNumberFormat="1" applyFont="1" applyFill="1" applyAlignment="1">
      <alignment vertical="top" wrapText="1"/>
    </xf>
    <xf numFmtId="0" fontId="11" fillId="2" borderId="2" xfId="5" applyNumberFormat="1" applyFont="1" applyFill="1" applyProtection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top" wrapText="1"/>
    </xf>
    <xf numFmtId="2" fontId="6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49" fontId="6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right" vertical="top" wrapText="1"/>
    </xf>
  </cellXfs>
  <cellStyles count="6">
    <cellStyle name="xl26" xfId="3"/>
    <cellStyle name="xl32" xfId="5"/>
    <cellStyle name="xl33" xfId="4"/>
    <cellStyle name="Обычный" xfId="0" builtinId="0"/>
    <cellStyle name="Обычный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915"/>
  <sheetViews>
    <sheetView tabSelected="1" view="pageBreakPreview" topLeftCell="B876" zoomScale="124" zoomScaleNormal="100" zoomScaleSheetLayoutView="124" workbookViewId="0">
      <selection activeCell="B9" sqref="B9:AD904"/>
    </sheetView>
  </sheetViews>
  <sheetFormatPr defaultRowHeight="11.25" x14ac:dyDescent="0.25"/>
  <cols>
    <col min="1" max="1" width="36.5703125" style="46" hidden="1" customWidth="1"/>
    <col min="2" max="2" width="47.140625" style="35" customWidth="1"/>
    <col min="3" max="3" width="3.5703125" style="46" customWidth="1"/>
    <col min="4" max="4" width="3.42578125" style="46" customWidth="1"/>
    <col min="5" max="5" width="3.7109375" style="46" customWidth="1"/>
    <col min="6" max="6" width="5" style="45" customWidth="1"/>
    <col min="7" max="7" width="6.28515625" style="46" customWidth="1"/>
    <col min="8" max="8" width="3.85546875" style="7" customWidth="1"/>
    <col min="9" max="9" width="19.5703125" style="7" hidden="1" customWidth="1"/>
    <col min="10" max="11" width="16.42578125" style="8" hidden="1" customWidth="1"/>
    <col min="12" max="12" width="21.7109375" style="8" hidden="1" customWidth="1"/>
    <col min="13" max="13" width="23" style="8" hidden="1" customWidth="1"/>
    <col min="14" max="15" width="20.140625" style="8" hidden="1" customWidth="1"/>
    <col min="16" max="16" width="10.85546875" style="8" hidden="1" customWidth="1"/>
    <col min="17" max="17" width="13.5703125" style="8" hidden="1" customWidth="1"/>
    <col min="18" max="18" width="9.42578125" style="8" hidden="1" customWidth="1"/>
    <col min="19" max="19" width="10.85546875" style="8" bestFit="1" customWidth="1"/>
    <col min="20" max="20" width="12" style="9" customWidth="1"/>
    <col min="21" max="22" width="16.28515625" style="9" hidden="1" customWidth="1"/>
    <col min="23" max="24" width="16.7109375" style="9" hidden="1" customWidth="1"/>
    <col min="25" max="25" width="12.42578125" style="46" customWidth="1"/>
    <col min="26" max="27" width="15.5703125" style="46" hidden="1" customWidth="1"/>
    <col min="28" max="29" width="17.5703125" style="46" hidden="1" customWidth="1"/>
    <col min="30" max="30" width="12" style="46" customWidth="1"/>
    <col min="31" max="31" width="16" style="46" hidden="1" customWidth="1"/>
    <col min="32" max="32" width="13.5703125" style="10" hidden="1" customWidth="1"/>
    <col min="33" max="33" width="14.140625" style="10" hidden="1" customWidth="1"/>
    <col min="34" max="34" width="18.140625" style="10" hidden="1" customWidth="1"/>
    <col min="35" max="35" width="19" style="10" hidden="1" customWidth="1"/>
    <col min="36" max="36" width="16.42578125" style="10" hidden="1" customWidth="1"/>
    <col min="37" max="37" width="20.28515625" style="10" hidden="1" customWidth="1"/>
    <col min="38" max="38" width="0" style="10" hidden="1" customWidth="1"/>
    <col min="39" max="39" width="0" style="46" hidden="1" customWidth="1"/>
    <col min="40" max="51" width="9.140625" style="46" hidden="1" customWidth="1"/>
    <col min="52" max="52" width="17.5703125" style="46" customWidth="1"/>
    <col min="53" max="275" width="9.140625" style="46"/>
    <col min="276" max="276" width="0" style="46" hidden="1" customWidth="1"/>
    <col min="277" max="277" width="36.5703125" style="46" customWidth="1"/>
    <col min="278" max="278" width="5.140625" style="46" customWidth="1"/>
    <col min="279" max="279" width="6.28515625" style="46" customWidth="1"/>
    <col min="280" max="280" width="5.28515625" style="46" customWidth="1"/>
    <col min="281" max="281" width="6.7109375" style="46" customWidth="1"/>
    <col min="282" max="282" width="10" style="46" customWidth="1"/>
    <col min="283" max="283" width="6" style="46" customWidth="1"/>
    <col min="284" max="284" width="16.28515625" style="46" customWidth="1"/>
    <col min="285" max="285" width="15.5703125" style="46" customWidth="1"/>
    <col min="286" max="286" width="15" style="46" customWidth="1"/>
    <col min="287" max="290" width="0" style="46" hidden="1" customWidth="1"/>
    <col min="291" max="291" width="19" style="46" customWidth="1"/>
    <col min="292" max="292" width="16.42578125" style="46" customWidth="1"/>
    <col min="293" max="293" width="20.28515625" style="46" customWidth="1"/>
    <col min="294" max="531" width="9.140625" style="46"/>
    <col min="532" max="532" width="0" style="46" hidden="1" customWidth="1"/>
    <col min="533" max="533" width="36.5703125" style="46" customWidth="1"/>
    <col min="534" max="534" width="5.140625" style="46" customWidth="1"/>
    <col min="535" max="535" width="6.28515625" style="46" customWidth="1"/>
    <col min="536" max="536" width="5.28515625" style="46" customWidth="1"/>
    <col min="537" max="537" width="6.7109375" style="46" customWidth="1"/>
    <col min="538" max="538" width="10" style="46" customWidth="1"/>
    <col min="539" max="539" width="6" style="46" customWidth="1"/>
    <col min="540" max="540" width="16.28515625" style="46" customWidth="1"/>
    <col min="541" max="541" width="15.5703125" style="46" customWidth="1"/>
    <col min="542" max="542" width="15" style="46" customWidth="1"/>
    <col min="543" max="546" width="0" style="46" hidden="1" customWidth="1"/>
    <col min="547" max="547" width="19" style="46" customWidth="1"/>
    <col min="548" max="548" width="16.42578125" style="46" customWidth="1"/>
    <col min="549" max="549" width="20.28515625" style="46" customWidth="1"/>
    <col min="550" max="787" width="9.140625" style="46"/>
    <col min="788" max="788" width="0" style="46" hidden="1" customWidth="1"/>
    <col min="789" max="789" width="36.5703125" style="46" customWidth="1"/>
    <col min="790" max="790" width="5.140625" style="46" customWidth="1"/>
    <col min="791" max="791" width="6.28515625" style="46" customWidth="1"/>
    <col min="792" max="792" width="5.28515625" style="46" customWidth="1"/>
    <col min="793" max="793" width="6.7109375" style="46" customWidth="1"/>
    <col min="794" max="794" width="10" style="46" customWidth="1"/>
    <col min="795" max="795" width="6" style="46" customWidth="1"/>
    <col min="796" max="796" width="16.28515625" style="46" customWidth="1"/>
    <col min="797" max="797" width="15.5703125" style="46" customWidth="1"/>
    <col min="798" max="798" width="15" style="46" customWidth="1"/>
    <col min="799" max="802" width="0" style="46" hidden="1" customWidth="1"/>
    <col min="803" max="803" width="19" style="46" customWidth="1"/>
    <col min="804" max="804" width="16.42578125" style="46" customWidth="1"/>
    <col min="805" max="805" width="20.28515625" style="46" customWidth="1"/>
    <col min="806" max="1043" width="9.140625" style="46"/>
    <col min="1044" max="1044" width="0" style="46" hidden="1" customWidth="1"/>
    <col min="1045" max="1045" width="36.5703125" style="46" customWidth="1"/>
    <col min="1046" max="1046" width="5.140625" style="46" customWidth="1"/>
    <col min="1047" max="1047" width="6.28515625" style="46" customWidth="1"/>
    <col min="1048" max="1048" width="5.28515625" style="46" customWidth="1"/>
    <col min="1049" max="1049" width="6.7109375" style="46" customWidth="1"/>
    <col min="1050" max="1050" width="10" style="46" customWidth="1"/>
    <col min="1051" max="1051" width="6" style="46" customWidth="1"/>
    <col min="1052" max="1052" width="16.28515625" style="46" customWidth="1"/>
    <col min="1053" max="1053" width="15.5703125" style="46" customWidth="1"/>
    <col min="1054" max="1054" width="15" style="46" customWidth="1"/>
    <col min="1055" max="1058" width="0" style="46" hidden="1" customWidth="1"/>
    <col min="1059" max="1059" width="19" style="46" customWidth="1"/>
    <col min="1060" max="1060" width="16.42578125" style="46" customWidth="1"/>
    <col min="1061" max="1061" width="20.28515625" style="46" customWidth="1"/>
    <col min="1062" max="1299" width="9.140625" style="46"/>
    <col min="1300" max="1300" width="0" style="46" hidden="1" customWidth="1"/>
    <col min="1301" max="1301" width="36.5703125" style="46" customWidth="1"/>
    <col min="1302" max="1302" width="5.140625" style="46" customWidth="1"/>
    <col min="1303" max="1303" width="6.28515625" style="46" customWidth="1"/>
    <col min="1304" max="1304" width="5.28515625" style="46" customWidth="1"/>
    <col min="1305" max="1305" width="6.7109375" style="46" customWidth="1"/>
    <col min="1306" max="1306" width="10" style="46" customWidth="1"/>
    <col min="1307" max="1307" width="6" style="46" customWidth="1"/>
    <col min="1308" max="1308" width="16.28515625" style="46" customWidth="1"/>
    <col min="1309" max="1309" width="15.5703125" style="46" customWidth="1"/>
    <col min="1310" max="1310" width="15" style="46" customWidth="1"/>
    <col min="1311" max="1314" width="0" style="46" hidden="1" customWidth="1"/>
    <col min="1315" max="1315" width="19" style="46" customWidth="1"/>
    <col min="1316" max="1316" width="16.42578125" style="46" customWidth="1"/>
    <col min="1317" max="1317" width="20.28515625" style="46" customWidth="1"/>
    <col min="1318" max="1555" width="9.140625" style="46"/>
    <col min="1556" max="1556" width="0" style="46" hidden="1" customWidth="1"/>
    <col min="1557" max="1557" width="36.5703125" style="46" customWidth="1"/>
    <col min="1558" max="1558" width="5.140625" style="46" customWidth="1"/>
    <col min="1559" max="1559" width="6.28515625" style="46" customWidth="1"/>
    <col min="1560" max="1560" width="5.28515625" style="46" customWidth="1"/>
    <col min="1561" max="1561" width="6.7109375" style="46" customWidth="1"/>
    <col min="1562" max="1562" width="10" style="46" customWidth="1"/>
    <col min="1563" max="1563" width="6" style="46" customWidth="1"/>
    <col min="1564" max="1564" width="16.28515625" style="46" customWidth="1"/>
    <col min="1565" max="1565" width="15.5703125" style="46" customWidth="1"/>
    <col min="1566" max="1566" width="15" style="46" customWidth="1"/>
    <col min="1567" max="1570" width="0" style="46" hidden="1" customWidth="1"/>
    <col min="1571" max="1571" width="19" style="46" customWidth="1"/>
    <col min="1572" max="1572" width="16.42578125" style="46" customWidth="1"/>
    <col min="1573" max="1573" width="20.28515625" style="46" customWidth="1"/>
    <col min="1574" max="1811" width="9.140625" style="46"/>
    <col min="1812" max="1812" width="0" style="46" hidden="1" customWidth="1"/>
    <col min="1813" max="1813" width="36.5703125" style="46" customWidth="1"/>
    <col min="1814" max="1814" width="5.140625" style="46" customWidth="1"/>
    <col min="1815" max="1815" width="6.28515625" style="46" customWidth="1"/>
    <col min="1816" max="1816" width="5.28515625" style="46" customWidth="1"/>
    <col min="1817" max="1817" width="6.7109375" style="46" customWidth="1"/>
    <col min="1818" max="1818" width="10" style="46" customWidth="1"/>
    <col min="1819" max="1819" width="6" style="46" customWidth="1"/>
    <col min="1820" max="1820" width="16.28515625" style="46" customWidth="1"/>
    <col min="1821" max="1821" width="15.5703125" style="46" customWidth="1"/>
    <col min="1822" max="1822" width="15" style="46" customWidth="1"/>
    <col min="1823" max="1826" width="0" style="46" hidden="1" customWidth="1"/>
    <col min="1827" max="1827" width="19" style="46" customWidth="1"/>
    <col min="1828" max="1828" width="16.42578125" style="46" customWidth="1"/>
    <col min="1829" max="1829" width="20.28515625" style="46" customWidth="1"/>
    <col min="1830" max="2067" width="9.140625" style="46"/>
    <col min="2068" max="2068" width="0" style="46" hidden="1" customWidth="1"/>
    <col min="2069" max="2069" width="36.5703125" style="46" customWidth="1"/>
    <col min="2070" max="2070" width="5.140625" style="46" customWidth="1"/>
    <col min="2071" max="2071" width="6.28515625" style="46" customWidth="1"/>
    <col min="2072" max="2072" width="5.28515625" style="46" customWidth="1"/>
    <col min="2073" max="2073" width="6.7109375" style="46" customWidth="1"/>
    <col min="2074" max="2074" width="10" style="46" customWidth="1"/>
    <col min="2075" max="2075" width="6" style="46" customWidth="1"/>
    <col min="2076" max="2076" width="16.28515625" style="46" customWidth="1"/>
    <col min="2077" max="2077" width="15.5703125" style="46" customWidth="1"/>
    <col min="2078" max="2078" width="15" style="46" customWidth="1"/>
    <col min="2079" max="2082" width="0" style="46" hidden="1" customWidth="1"/>
    <col min="2083" max="2083" width="19" style="46" customWidth="1"/>
    <col min="2084" max="2084" width="16.42578125" style="46" customWidth="1"/>
    <col min="2085" max="2085" width="20.28515625" style="46" customWidth="1"/>
    <col min="2086" max="2323" width="9.140625" style="46"/>
    <col min="2324" max="2324" width="0" style="46" hidden="1" customWidth="1"/>
    <col min="2325" max="2325" width="36.5703125" style="46" customWidth="1"/>
    <col min="2326" max="2326" width="5.140625" style="46" customWidth="1"/>
    <col min="2327" max="2327" width="6.28515625" style="46" customWidth="1"/>
    <col min="2328" max="2328" width="5.28515625" style="46" customWidth="1"/>
    <col min="2329" max="2329" width="6.7109375" style="46" customWidth="1"/>
    <col min="2330" max="2330" width="10" style="46" customWidth="1"/>
    <col min="2331" max="2331" width="6" style="46" customWidth="1"/>
    <col min="2332" max="2332" width="16.28515625" style="46" customWidth="1"/>
    <col min="2333" max="2333" width="15.5703125" style="46" customWidth="1"/>
    <col min="2334" max="2334" width="15" style="46" customWidth="1"/>
    <col min="2335" max="2338" width="0" style="46" hidden="1" customWidth="1"/>
    <col min="2339" max="2339" width="19" style="46" customWidth="1"/>
    <col min="2340" max="2340" width="16.42578125" style="46" customWidth="1"/>
    <col min="2341" max="2341" width="20.28515625" style="46" customWidth="1"/>
    <col min="2342" max="2579" width="9.140625" style="46"/>
    <col min="2580" max="2580" width="0" style="46" hidden="1" customWidth="1"/>
    <col min="2581" max="2581" width="36.5703125" style="46" customWidth="1"/>
    <col min="2582" max="2582" width="5.140625" style="46" customWidth="1"/>
    <col min="2583" max="2583" width="6.28515625" style="46" customWidth="1"/>
    <col min="2584" max="2584" width="5.28515625" style="46" customWidth="1"/>
    <col min="2585" max="2585" width="6.7109375" style="46" customWidth="1"/>
    <col min="2586" max="2586" width="10" style="46" customWidth="1"/>
    <col min="2587" max="2587" width="6" style="46" customWidth="1"/>
    <col min="2588" max="2588" width="16.28515625" style="46" customWidth="1"/>
    <col min="2589" max="2589" width="15.5703125" style="46" customWidth="1"/>
    <col min="2590" max="2590" width="15" style="46" customWidth="1"/>
    <col min="2591" max="2594" width="0" style="46" hidden="1" customWidth="1"/>
    <col min="2595" max="2595" width="19" style="46" customWidth="1"/>
    <col min="2596" max="2596" width="16.42578125" style="46" customWidth="1"/>
    <col min="2597" max="2597" width="20.28515625" style="46" customWidth="1"/>
    <col min="2598" max="2835" width="9.140625" style="46"/>
    <col min="2836" max="2836" width="0" style="46" hidden="1" customWidth="1"/>
    <col min="2837" max="2837" width="36.5703125" style="46" customWidth="1"/>
    <col min="2838" max="2838" width="5.140625" style="46" customWidth="1"/>
    <col min="2839" max="2839" width="6.28515625" style="46" customWidth="1"/>
    <col min="2840" max="2840" width="5.28515625" style="46" customWidth="1"/>
    <col min="2841" max="2841" width="6.7109375" style="46" customWidth="1"/>
    <col min="2842" max="2842" width="10" style="46" customWidth="1"/>
    <col min="2843" max="2843" width="6" style="46" customWidth="1"/>
    <col min="2844" max="2844" width="16.28515625" style="46" customWidth="1"/>
    <col min="2845" max="2845" width="15.5703125" style="46" customWidth="1"/>
    <col min="2846" max="2846" width="15" style="46" customWidth="1"/>
    <col min="2847" max="2850" width="0" style="46" hidden="1" customWidth="1"/>
    <col min="2851" max="2851" width="19" style="46" customWidth="1"/>
    <col min="2852" max="2852" width="16.42578125" style="46" customWidth="1"/>
    <col min="2853" max="2853" width="20.28515625" style="46" customWidth="1"/>
    <col min="2854" max="3091" width="9.140625" style="46"/>
    <col min="3092" max="3092" width="0" style="46" hidden="1" customWidth="1"/>
    <col min="3093" max="3093" width="36.5703125" style="46" customWidth="1"/>
    <col min="3094" max="3094" width="5.140625" style="46" customWidth="1"/>
    <col min="3095" max="3095" width="6.28515625" style="46" customWidth="1"/>
    <col min="3096" max="3096" width="5.28515625" style="46" customWidth="1"/>
    <col min="3097" max="3097" width="6.7109375" style="46" customWidth="1"/>
    <col min="3098" max="3098" width="10" style="46" customWidth="1"/>
    <col min="3099" max="3099" width="6" style="46" customWidth="1"/>
    <col min="3100" max="3100" width="16.28515625" style="46" customWidth="1"/>
    <col min="3101" max="3101" width="15.5703125" style="46" customWidth="1"/>
    <col min="3102" max="3102" width="15" style="46" customWidth="1"/>
    <col min="3103" max="3106" width="0" style="46" hidden="1" customWidth="1"/>
    <col min="3107" max="3107" width="19" style="46" customWidth="1"/>
    <col min="3108" max="3108" width="16.42578125" style="46" customWidth="1"/>
    <col min="3109" max="3109" width="20.28515625" style="46" customWidth="1"/>
    <col min="3110" max="3347" width="9.140625" style="46"/>
    <col min="3348" max="3348" width="0" style="46" hidden="1" customWidth="1"/>
    <col min="3349" max="3349" width="36.5703125" style="46" customWidth="1"/>
    <col min="3350" max="3350" width="5.140625" style="46" customWidth="1"/>
    <col min="3351" max="3351" width="6.28515625" style="46" customWidth="1"/>
    <col min="3352" max="3352" width="5.28515625" style="46" customWidth="1"/>
    <col min="3353" max="3353" width="6.7109375" style="46" customWidth="1"/>
    <col min="3354" max="3354" width="10" style="46" customWidth="1"/>
    <col min="3355" max="3355" width="6" style="46" customWidth="1"/>
    <col min="3356" max="3356" width="16.28515625" style="46" customWidth="1"/>
    <col min="3357" max="3357" width="15.5703125" style="46" customWidth="1"/>
    <col min="3358" max="3358" width="15" style="46" customWidth="1"/>
    <col min="3359" max="3362" width="0" style="46" hidden="1" customWidth="1"/>
    <col min="3363" max="3363" width="19" style="46" customWidth="1"/>
    <col min="3364" max="3364" width="16.42578125" style="46" customWidth="1"/>
    <col min="3365" max="3365" width="20.28515625" style="46" customWidth="1"/>
    <col min="3366" max="3603" width="9.140625" style="46"/>
    <col min="3604" max="3604" width="0" style="46" hidden="1" customWidth="1"/>
    <col min="3605" max="3605" width="36.5703125" style="46" customWidth="1"/>
    <col min="3606" max="3606" width="5.140625" style="46" customWidth="1"/>
    <col min="3607" max="3607" width="6.28515625" style="46" customWidth="1"/>
    <col min="3608" max="3608" width="5.28515625" style="46" customWidth="1"/>
    <col min="3609" max="3609" width="6.7109375" style="46" customWidth="1"/>
    <col min="3610" max="3610" width="10" style="46" customWidth="1"/>
    <col min="3611" max="3611" width="6" style="46" customWidth="1"/>
    <col min="3612" max="3612" width="16.28515625" style="46" customWidth="1"/>
    <col min="3613" max="3613" width="15.5703125" style="46" customWidth="1"/>
    <col min="3614" max="3614" width="15" style="46" customWidth="1"/>
    <col min="3615" max="3618" width="0" style="46" hidden="1" customWidth="1"/>
    <col min="3619" max="3619" width="19" style="46" customWidth="1"/>
    <col min="3620" max="3620" width="16.42578125" style="46" customWidth="1"/>
    <col min="3621" max="3621" width="20.28515625" style="46" customWidth="1"/>
    <col min="3622" max="3859" width="9.140625" style="46"/>
    <col min="3860" max="3860" width="0" style="46" hidden="1" customWidth="1"/>
    <col min="3861" max="3861" width="36.5703125" style="46" customWidth="1"/>
    <col min="3862" max="3862" width="5.140625" style="46" customWidth="1"/>
    <col min="3863" max="3863" width="6.28515625" style="46" customWidth="1"/>
    <col min="3864" max="3864" width="5.28515625" style="46" customWidth="1"/>
    <col min="3865" max="3865" width="6.7109375" style="46" customWidth="1"/>
    <col min="3866" max="3866" width="10" style="46" customWidth="1"/>
    <col min="3867" max="3867" width="6" style="46" customWidth="1"/>
    <col min="3868" max="3868" width="16.28515625" style="46" customWidth="1"/>
    <col min="3869" max="3869" width="15.5703125" style="46" customWidth="1"/>
    <col min="3870" max="3870" width="15" style="46" customWidth="1"/>
    <col min="3871" max="3874" width="0" style="46" hidden="1" customWidth="1"/>
    <col min="3875" max="3875" width="19" style="46" customWidth="1"/>
    <col min="3876" max="3876" width="16.42578125" style="46" customWidth="1"/>
    <col min="3877" max="3877" width="20.28515625" style="46" customWidth="1"/>
    <col min="3878" max="4115" width="9.140625" style="46"/>
    <col min="4116" max="4116" width="0" style="46" hidden="1" customWidth="1"/>
    <col min="4117" max="4117" width="36.5703125" style="46" customWidth="1"/>
    <col min="4118" max="4118" width="5.140625" style="46" customWidth="1"/>
    <col min="4119" max="4119" width="6.28515625" style="46" customWidth="1"/>
    <col min="4120" max="4120" width="5.28515625" style="46" customWidth="1"/>
    <col min="4121" max="4121" width="6.7109375" style="46" customWidth="1"/>
    <col min="4122" max="4122" width="10" style="46" customWidth="1"/>
    <col min="4123" max="4123" width="6" style="46" customWidth="1"/>
    <col min="4124" max="4124" width="16.28515625" style="46" customWidth="1"/>
    <col min="4125" max="4125" width="15.5703125" style="46" customWidth="1"/>
    <col min="4126" max="4126" width="15" style="46" customWidth="1"/>
    <col min="4127" max="4130" width="0" style="46" hidden="1" customWidth="1"/>
    <col min="4131" max="4131" width="19" style="46" customWidth="1"/>
    <col min="4132" max="4132" width="16.42578125" style="46" customWidth="1"/>
    <col min="4133" max="4133" width="20.28515625" style="46" customWidth="1"/>
    <col min="4134" max="4371" width="9.140625" style="46"/>
    <col min="4372" max="4372" width="0" style="46" hidden="1" customWidth="1"/>
    <col min="4373" max="4373" width="36.5703125" style="46" customWidth="1"/>
    <col min="4374" max="4374" width="5.140625" style="46" customWidth="1"/>
    <col min="4375" max="4375" width="6.28515625" style="46" customWidth="1"/>
    <col min="4376" max="4376" width="5.28515625" style="46" customWidth="1"/>
    <col min="4377" max="4377" width="6.7109375" style="46" customWidth="1"/>
    <col min="4378" max="4378" width="10" style="46" customWidth="1"/>
    <col min="4379" max="4379" width="6" style="46" customWidth="1"/>
    <col min="4380" max="4380" width="16.28515625" style="46" customWidth="1"/>
    <col min="4381" max="4381" width="15.5703125" style="46" customWidth="1"/>
    <col min="4382" max="4382" width="15" style="46" customWidth="1"/>
    <col min="4383" max="4386" width="0" style="46" hidden="1" customWidth="1"/>
    <col min="4387" max="4387" width="19" style="46" customWidth="1"/>
    <col min="4388" max="4388" width="16.42578125" style="46" customWidth="1"/>
    <col min="4389" max="4389" width="20.28515625" style="46" customWidth="1"/>
    <col min="4390" max="4627" width="9.140625" style="46"/>
    <col min="4628" max="4628" width="0" style="46" hidden="1" customWidth="1"/>
    <col min="4629" max="4629" width="36.5703125" style="46" customWidth="1"/>
    <col min="4630" max="4630" width="5.140625" style="46" customWidth="1"/>
    <col min="4631" max="4631" width="6.28515625" style="46" customWidth="1"/>
    <col min="4632" max="4632" width="5.28515625" style="46" customWidth="1"/>
    <col min="4633" max="4633" width="6.7109375" style="46" customWidth="1"/>
    <col min="4634" max="4634" width="10" style="46" customWidth="1"/>
    <col min="4635" max="4635" width="6" style="46" customWidth="1"/>
    <col min="4636" max="4636" width="16.28515625" style="46" customWidth="1"/>
    <col min="4637" max="4637" width="15.5703125" style="46" customWidth="1"/>
    <col min="4638" max="4638" width="15" style="46" customWidth="1"/>
    <col min="4639" max="4642" width="0" style="46" hidden="1" customWidth="1"/>
    <col min="4643" max="4643" width="19" style="46" customWidth="1"/>
    <col min="4644" max="4644" width="16.42578125" style="46" customWidth="1"/>
    <col min="4645" max="4645" width="20.28515625" style="46" customWidth="1"/>
    <col min="4646" max="4883" width="9.140625" style="46"/>
    <col min="4884" max="4884" width="0" style="46" hidden="1" customWidth="1"/>
    <col min="4885" max="4885" width="36.5703125" style="46" customWidth="1"/>
    <col min="4886" max="4886" width="5.140625" style="46" customWidth="1"/>
    <col min="4887" max="4887" width="6.28515625" style="46" customWidth="1"/>
    <col min="4888" max="4888" width="5.28515625" style="46" customWidth="1"/>
    <col min="4889" max="4889" width="6.7109375" style="46" customWidth="1"/>
    <col min="4890" max="4890" width="10" style="46" customWidth="1"/>
    <col min="4891" max="4891" width="6" style="46" customWidth="1"/>
    <col min="4892" max="4892" width="16.28515625" style="46" customWidth="1"/>
    <col min="4893" max="4893" width="15.5703125" style="46" customWidth="1"/>
    <col min="4894" max="4894" width="15" style="46" customWidth="1"/>
    <col min="4895" max="4898" width="0" style="46" hidden="1" customWidth="1"/>
    <col min="4899" max="4899" width="19" style="46" customWidth="1"/>
    <col min="4900" max="4900" width="16.42578125" style="46" customWidth="1"/>
    <col min="4901" max="4901" width="20.28515625" style="46" customWidth="1"/>
    <col min="4902" max="5139" width="9.140625" style="46"/>
    <col min="5140" max="5140" width="0" style="46" hidden="1" customWidth="1"/>
    <col min="5141" max="5141" width="36.5703125" style="46" customWidth="1"/>
    <col min="5142" max="5142" width="5.140625" style="46" customWidth="1"/>
    <col min="5143" max="5143" width="6.28515625" style="46" customWidth="1"/>
    <col min="5144" max="5144" width="5.28515625" style="46" customWidth="1"/>
    <col min="5145" max="5145" width="6.7109375" style="46" customWidth="1"/>
    <col min="5146" max="5146" width="10" style="46" customWidth="1"/>
    <col min="5147" max="5147" width="6" style="46" customWidth="1"/>
    <col min="5148" max="5148" width="16.28515625" style="46" customWidth="1"/>
    <col min="5149" max="5149" width="15.5703125" style="46" customWidth="1"/>
    <col min="5150" max="5150" width="15" style="46" customWidth="1"/>
    <col min="5151" max="5154" width="0" style="46" hidden="1" customWidth="1"/>
    <col min="5155" max="5155" width="19" style="46" customWidth="1"/>
    <col min="5156" max="5156" width="16.42578125" style="46" customWidth="1"/>
    <col min="5157" max="5157" width="20.28515625" style="46" customWidth="1"/>
    <col min="5158" max="5395" width="9.140625" style="46"/>
    <col min="5396" max="5396" width="0" style="46" hidden="1" customWidth="1"/>
    <col min="5397" max="5397" width="36.5703125" style="46" customWidth="1"/>
    <col min="5398" max="5398" width="5.140625" style="46" customWidth="1"/>
    <col min="5399" max="5399" width="6.28515625" style="46" customWidth="1"/>
    <col min="5400" max="5400" width="5.28515625" style="46" customWidth="1"/>
    <col min="5401" max="5401" width="6.7109375" style="46" customWidth="1"/>
    <col min="5402" max="5402" width="10" style="46" customWidth="1"/>
    <col min="5403" max="5403" width="6" style="46" customWidth="1"/>
    <col min="5404" max="5404" width="16.28515625" style="46" customWidth="1"/>
    <col min="5405" max="5405" width="15.5703125" style="46" customWidth="1"/>
    <col min="5406" max="5406" width="15" style="46" customWidth="1"/>
    <col min="5407" max="5410" width="0" style="46" hidden="1" customWidth="1"/>
    <col min="5411" max="5411" width="19" style="46" customWidth="1"/>
    <col min="5412" max="5412" width="16.42578125" style="46" customWidth="1"/>
    <col min="5413" max="5413" width="20.28515625" style="46" customWidth="1"/>
    <col min="5414" max="5651" width="9.140625" style="46"/>
    <col min="5652" max="5652" width="0" style="46" hidden="1" customWidth="1"/>
    <col min="5653" max="5653" width="36.5703125" style="46" customWidth="1"/>
    <col min="5654" max="5654" width="5.140625" style="46" customWidth="1"/>
    <col min="5655" max="5655" width="6.28515625" style="46" customWidth="1"/>
    <col min="5656" max="5656" width="5.28515625" style="46" customWidth="1"/>
    <col min="5657" max="5657" width="6.7109375" style="46" customWidth="1"/>
    <col min="5658" max="5658" width="10" style="46" customWidth="1"/>
    <col min="5659" max="5659" width="6" style="46" customWidth="1"/>
    <col min="5660" max="5660" width="16.28515625" style="46" customWidth="1"/>
    <col min="5661" max="5661" width="15.5703125" style="46" customWidth="1"/>
    <col min="5662" max="5662" width="15" style="46" customWidth="1"/>
    <col min="5663" max="5666" width="0" style="46" hidden="1" customWidth="1"/>
    <col min="5667" max="5667" width="19" style="46" customWidth="1"/>
    <col min="5668" max="5668" width="16.42578125" style="46" customWidth="1"/>
    <col min="5669" max="5669" width="20.28515625" style="46" customWidth="1"/>
    <col min="5670" max="5907" width="9.140625" style="46"/>
    <col min="5908" max="5908" width="0" style="46" hidden="1" customWidth="1"/>
    <col min="5909" max="5909" width="36.5703125" style="46" customWidth="1"/>
    <col min="5910" max="5910" width="5.140625" style="46" customWidth="1"/>
    <col min="5911" max="5911" width="6.28515625" style="46" customWidth="1"/>
    <col min="5912" max="5912" width="5.28515625" style="46" customWidth="1"/>
    <col min="5913" max="5913" width="6.7109375" style="46" customWidth="1"/>
    <col min="5914" max="5914" width="10" style="46" customWidth="1"/>
    <col min="5915" max="5915" width="6" style="46" customWidth="1"/>
    <col min="5916" max="5916" width="16.28515625" style="46" customWidth="1"/>
    <col min="5917" max="5917" width="15.5703125" style="46" customWidth="1"/>
    <col min="5918" max="5918" width="15" style="46" customWidth="1"/>
    <col min="5919" max="5922" width="0" style="46" hidden="1" customWidth="1"/>
    <col min="5923" max="5923" width="19" style="46" customWidth="1"/>
    <col min="5924" max="5924" width="16.42578125" style="46" customWidth="1"/>
    <col min="5925" max="5925" width="20.28515625" style="46" customWidth="1"/>
    <col min="5926" max="6163" width="9.140625" style="46"/>
    <col min="6164" max="6164" width="0" style="46" hidden="1" customWidth="1"/>
    <col min="6165" max="6165" width="36.5703125" style="46" customWidth="1"/>
    <col min="6166" max="6166" width="5.140625" style="46" customWidth="1"/>
    <col min="6167" max="6167" width="6.28515625" style="46" customWidth="1"/>
    <col min="6168" max="6168" width="5.28515625" style="46" customWidth="1"/>
    <col min="6169" max="6169" width="6.7109375" style="46" customWidth="1"/>
    <col min="6170" max="6170" width="10" style="46" customWidth="1"/>
    <col min="6171" max="6171" width="6" style="46" customWidth="1"/>
    <col min="6172" max="6172" width="16.28515625" style="46" customWidth="1"/>
    <col min="6173" max="6173" width="15.5703125" style="46" customWidth="1"/>
    <col min="6174" max="6174" width="15" style="46" customWidth="1"/>
    <col min="6175" max="6178" width="0" style="46" hidden="1" customWidth="1"/>
    <col min="6179" max="6179" width="19" style="46" customWidth="1"/>
    <col min="6180" max="6180" width="16.42578125" style="46" customWidth="1"/>
    <col min="6181" max="6181" width="20.28515625" style="46" customWidth="1"/>
    <col min="6182" max="6419" width="9.140625" style="46"/>
    <col min="6420" max="6420" width="0" style="46" hidden="1" customWidth="1"/>
    <col min="6421" max="6421" width="36.5703125" style="46" customWidth="1"/>
    <col min="6422" max="6422" width="5.140625" style="46" customWidth="1"/>
    <col min="6423" max="6423" width="6.28515625" style="46" customWidth="1"/>
    <col min="6424" max="6424" width="5.28515625" style="46" customWidth="1"/>
    <col min="6425" max="6425" width="6.7109375" style="46" customWidth="1"/>
    <col min="6426" max="6426" width="10" style="46" customWidth="1"/>
    <col min="6427" max="6427" width="6" style="46" customWidth="1"/>
    <col min="6428" max="6428" width="16.28515625" style="46" customWidth="1"/>
    <col min="6429" max="6429" width="15.5703125" style="46" customWidth="1"/>
    <col min="6430" max="6430" width="15" style="46" customWidth="1"/>
    <col min="6431" max="6434" width="0" style="46" hidden="1" customWidth="1"/>
    <col min="6435" max="6435" width="19" style="46" customWidth="1"/>
    <col min="6436" max="6436" width="16.42578125" style="46" customWidth="1"/>
    <col min="6437" max="6437" width="20.28515625" style="46" customWidth="1"/>
    <col min="6438" max="6675" width="9.140625" style="46"/>
    <col min="6676" max="6676" width="0" style="46" hidden="1" customWidth="1"/>
    <col min="6677" max="6677" width="36.5703125" style="46" customWidth="1"/>
    <col min="6678" max="6678" width="5.140625" style="46" customWidth="1"/>
    <col min="6679" max="6679" width="6.28515625" style="46" customWidth="1"/>
    <col min="6680" max="6680" width="5.28515625" style="46" customWidth="1"/>
    <col min="6681" max="6681" width="6.7109375" style="46" customWidth="1"/>
    <col min="6682" max="6682" width="10" style="46" customWidth="1"/>
    <col min="6683" max="6683" width="6" style="46" customWidth="1"/>
    <col min="6684" max="6684" width="16.28515625" style="46" customWidth="1"/>
    <col min="6685" max="6685" width="15.5703125" style="46" customWidth="1"/>
    <col min="6686" max="6686" width="15" style="46" customWidth="1"/>
    <col min="6687" max="6690" width="0" style="46" hidden="1" customWidth="1"/>
    <col min="6691" max="6691" width="19" style="46" customWidth="1"/>
    <col min="6692" max="6692" width="16.42578125" style="46" customWidth="1"/>
    <col min="6693" max="6693" width="20.28515625" style="46" customWidth="1"/>
    <col min="6694" max="6931" width="9.140625" style="46"/>
    <col min="6932" max="6932" width="0" style="46" hidden="1" customWidth="1"/>
    <col min="6933" max="6933" width="36.5703125" style="46" customWidth="1"/>
    <col min="6934" max="6934" width="5.140625" style="46" customWidth="1"/>
    <col min="6935" max="6935" width="6.28515625" style="46" customWidth="1"/>
    <col min="6936" max="6936" width="5.28515625" style="46" customWidth="1"/>
    <col min="6937" max="6937" width="6.7109375" style="46" customWidth="1"/>
    <col min="6938" max="6938" width="10" style="46" customWidth="1"/>
    <col min="6939" max="6939" width="6" style="46" customWidth="1"/>
    <col min="6940" max="6940" width="16.28515625" style="46" customWidth="1"/>
    <col min="6941" max="6941" width="15.5703125" style="46" customWidth="1"/>
    <col min="6942" max="6942" width="15" style="46" customWidth="1"/>
    <col min="6943" max="6946" width="0" style="46" hidden="1" customWidth="1"/>
    <col min="6947" max="6947" width="19" style="46" customWidth="1"/>
    <col min="6948" max="6948" width="16.42578125" style="46" customWidth="1"/>
    <col min="6949" max="6949" width="20.28515625" style="46" customWidth="1"/>
    <col min="6950" max="7187" width="9.140625" style="46"/>
    <col min="7188" max="7188" width="0" style="46" hidden="1" customWidth="1"/>
    <col min="7189" max="7189" width="36.5703125" style="46" customWidth="1"/>
    <col min="7190" max="7190" width="5.140625" style="46" customWidth="1"/>
    <col min="7191" max="7191" width="6.28515625" style="46" customWidth="1"/>
    <col min="7192" max="7192" width="5.28515625" style="46" customWidth="1"/>
    <col min="7193" max="7193" width="6.7109375" style="46" customWidth="1"/>
    <col min="7194" max="7194" width="10" style="46" customWidth="1"/>
    <col min="7195" max="7195" width="6" style="46" customWidth="1"/>
    <col min="7196" max="7196" width="16.28515625" style="46" customWidth="1"/>
    <col min="7197" max="7197" width="15.5703125" style="46" customWidth="1"/>
    <col min="7198" max="7198" width="15" style="46" customWidth="1"/>
    <col min="7199" max="7202" width="0" style="46" hidden="1" customWidth="1"/>
    <col min="7203" max="7203" width="19" style="46" customWidth="1"/>
    <col min="7204" max="7204" width="16.42578125" style="46" customWidth="1"/>
    <col min="7205" max="7205" width="20.28515625" style="46" customWidth="1"/>
    <col min="7206" max="7443" width="9.140625" style="46"/>
    <col min="7444" max="7444" width="0" style="46" hidden="1" customWidth="1"/>
    <col min="7445" max="7445" width="36.5703125" style="46" customWidth="1"/>
    <col min="7446" max="7446" width="5.140625" style="46" customWidth="1"/>
    <col min="7447" max="7447" width="6.28515625" style="46" customWidth="1"/>
    <col min="7448" max="7448" width="5.28515625" style="46" customWidth="1"/>
    <col min="7449" max="7449" width="6.7109375" style="46" customWidth="1"/>
    <col min="7450" max="7450" width="10" style="46" customWidth="1"/>
    <col min="7451" max="7451" width="6" style="46" customWidth="1"/>
    <col min="7452" max="7452" width="16.28515625" style="46" customWidth="1"/>
    <col min="7453" max="7453" width="15.5703125" style="46" customWidth="1"/>
    <col min="7454" max="7454" width="15" style="46" customWidth="1"/>
    <col min="7455" max="7458" width="0" style="46" hidden="1" customWidth="1"/>
    <col min="7459" max="7459" width="19" style="46" customWidth="1"/>
    <col min="7460" max="7460" width="16.42578125" style="46" customWidth="1"/>
    <col min="7461" max="7461" width="20.28515625" style="46" customWidth="1"/>
    <col min="7462" max="7699" width="9.140625" style="46"/>
    <col min="7700" max="7700" width="0" style="46" hidden="1" customWidth="1"/>
    <col min="7701" max="7701" width="36.5703125" style="46" customWidth="1"/>
    <col min="7702" max="7702" width="5.140625" style="46" customWidth="1"/>
    <col min="7703" max="7703" width="6.28515625" style="46" customWidth="1"/>
    <col min="7704" max="7704" width="5.28515625" style="46" customWidth="1"/>
    <col min="7705" max="7705" width="6.7109375" style="46" customWidth="1"/>
    <col min="7706" max="7706" width="10" style="46" customWidth="1"/>
    <col min="7707" max="7707" width="6" style="46" customWidth="1"/>
    <col min="7708" max="7708" width="16.28515625" style="46" customWidth="1"/>
    <col min="7709" max="7709" width="15.5703125" style="46" customWidth="1"/>
    <col min="7710" max="7710" width="15" style="46" customWidth="1"/>
    <col min="7711" max="7714" width="0" style="46" hidden="1" customWidth="1"/>
    <col min="7715" max="7715" width="19" style="46" customWidth="1"/>
    <col min="7716" max="7716" width="16.42578125" style="46" customWidth="1"/>
    <col min="7717" max="7717" width="20.28515625" style="46" customWidth="1"/>
    <col min="7718" max="7955" width="9.140625" style="46"/>
    <col min="7956" max="7956" width="0" style="46" hidden="1" customWidth="1"/>
    <col min="7957" max="7957" width="36.5703125" style="46" customWidth="1"/>
    <col min="7958" max="7958" width="5.140625" style="46" customWidth="1"/>
    <col min="7959" max="7959" width="6.28515625" style="46" customWidth="1"/>
    <col min="7960" max="7960" width="5.28515625" style="46" customWidth="1"/>
    <col min="7961" max="7961" width="6.7109375" style="46" customWidth="1"/>
    <col min="7962" max="7962" width="10" style="46" customWidth="1"/>
    <col min="7963" max="7963" width="6" style="46" customWidth="1"/>
    <col min="7964" max="7964" width="16.28515625" style="46" customWidth="1"/>
    <col min="7965" max="7965" width="15.5703125" style="46" customWidth="1"/>
    <col min="7966" max="7966" width="15" style="46" customWidth="1"/>
    <col min="7967" max="7970" width="0" style="46" hidden="1" customWidth="1"/>
    <col min="7971" max="7971" width="19" style="46" customWidth="1"/>
    <col min="7972" max="7972" width="16.42578125" style="46" customWidth="1"/>
    <col min="7973" max="7973" width="20.28515625" style="46" customWidth="1"/>
    <col min="7974" max="8211" width="9.140625" style="46"/>
    <col min="8212" max="8212" width="0" style="46" hidden="1" customWidth="1"/>
    <col min="8213" max="8213" width="36.5703125" style="46" customWidth="1"/>
    <col min="8214" max="8214" width="5.140625" style="46" customWidth="1"/>
    <col min="8215" max="8215" width="6.28515625" style="46" customWidth="1"/>
    <col min="8216" max="8216" width="5.28515625" style="46" customWidth="1"/>
    <col min="8217" max="8217" width="6.7109375" style="46" customWidth="1"/>
    <col min="8218" max="8218" width="10" style="46" customWidth="1"/>
    <col min="8219" max="8219" width="6" style="46" customWidth="1"/>
    <col min="8220" max="8220" width="16.28515625" style="46" customWidth="1"/>
    <col min="8221" max="8221" width="15.5703125" style="46" customWidth="1"/>
    <col min="8222" max="8222" width="15" style="46" customWidth="1"/>
    <col min="8223" max="8226" width="0" style="46" hidden="1" customWidth="1"/>
    <col min="8227" max="8227" width="19" style="46" customWidth="1"/>
    <col min="8228" max="8228" width="16.42578125" style="46" customWidth="1"/>
    <col min="8229" max="8229" width="20.28515625" style="46" customWidth="1"/>
    <col min="8230" max="8467" width="9.140625" style="46"/>
    <col min="8468" max="8468" width="0" style="46" hidden="1" customWidth="1"/>
    <col min="8469" max="8469" width="36.5703125" style="46" customWidth="1"/>
    <col min="8470" max="8470" width="5.140625" style="46" customWidth="1"/>
    <col min="8471" max="8471" width="6.28515625" style="46" customWidth="1"/>
    <col min="8472" max="8472" width="5.28515625" style="46" customWidth="1"/>
    <col min="8473" max="8473" width="6.7109375" style="46" customWidth="1"/>
    <col min="8474" max="8474" width="10" style="46" customWidth="1"/>
    <col min="8475" max="8475" width="6" style="46" customWidth="1"/>
    <col min="8476" max="8476" width="16.28515625" style="46" customWidth="1"/>
    <col min="8477" max="8477" width="15.5703125" style="46" customWidth="1"/>
    <col min="8478" max="8478" width="15" style="46" customWidth="1"/>
    <col min="8479" max="8482" width="0" style="46" hidden="1" customWidth="1"/>
    <col min="8483" max="8483" width="19" style="46" customWidth="1"/>
    <col min="8484" max="8484" width="16.42578125" style="46" customWidth="1"/>
    <col min="8485" max="8485" width="20.28515625" style="46" customWidth="1"/>
    <col min="8486" max="8723" width="9.140625" style="46"/>
    <col min="8724" max="8724" width="0" style="46" hidden="1" customWidth="1"/>
    <col min="8725" max="8725" width="36.5703125" style="46" customWidth="1"/>
    <col min="8726" max="8726" width="5.140625" style="46" customWidth="1"/>
    <col min="8727" max="8727" width="6.28515625" style="46" customWidth="1"/>
    <col min="8728" max="8728" width="5.28515625" style="46" customWidth="1"/>
    <col min="8729" max="8729" width="6.7109375" style="46" customWidth="1"/>
    <col min="8730" max="8730" width="10" style="46" customWidth="1"/>
    <col min="8731" max="8731" width="6" style="46" customWidth="1"/>
    <col min="8732" max="8732" width="16.28515625" style="46" customWidth="1"/>
    <col min="8733" max="8733" width="15.5703125" style="46" customWidth="1"/>
    <col min="8734" max="8734" width="15" style="46" customWidth="1"/>
    <col min="8735" max="8738" width="0" style="46" hidden="1" customWidth="1"/>
    <col min="8739" max="8739" width="19" style="46" customWidth="1"/>
    <col min="8740" max="8740" width="16.42578125" style="46" customWidth="1"/>
    <col min="8741" max="8741" width="20.28515625" style="46" customWidth="1"/>
    <col min="8742" max="8979" width="9.140625" style="46"/>
    <col min="8980" max="8980" width="0" style="46" hidden="1" customWidth="1"/>
    <col min="8981" max="8981" width="36.5703125" style="46" customWidth="1"/>
    <col min="8982" max="8982" width="5.140625" style="46" customWidth="1"/>
    <col min="8983" max="8983" width="6.28515625" style="46" customWidth="1"/>
    <col min="8984" max="8984" width="5.28515625" style="46" customWidth="1"/>
    <col min="8985" max="8985" width="6.7109375" style="46" customWidth="1"/>
    <col min="8986" max="8986" width="10" style="46" customWidth="1"/>
    <col min="8987" max="8987" width="6" style="46" customWidth="1"/>
    <col min="8988" max="8988" width="16.28515625" style="46" customWidth="1"/>
    <col min="8989" max="8989" width="15.5703125" style="46" customWidth="1"/>
    <col min="8990" max="8990" width="15" style="46" customWidth="1"/>
    <col min="8991" max="8994" width="0" style="46" hidden="1" customWidth="1"/>
    <col min="8995" max="8995" width="19" style="46" customWidth="1"/>
    <col min="8996" max="8996" width="16.42578125" style="46" customWidth="1"/>
    <col min="8997" max="8997" width="20.28515625" style="46" customWidth="1"/>
    <col min="8998" max="9235" width="9.140625" style="46"/>
    <col min="9236" max="9236" width="0" style="46" hidden="1" customWidth="1"/>
    <col min="9237" max="9237" width="36.5703125" style="46" customWidth="1"/>
    <col min="9238" max="9238" width="5.140625" style="46" customWidth="1"/>
    <col min="9239" max="9239" width="6.28515625" style="46" customWidth="1"/>
    <col min="9240" max="9240" width="5.28515625" style="46" customWidth="1"/>
    <col min="9241" max="9241" width="6.7109375" style="46" customWidth="1"/>
    <col min="9242" max="9242" width="10" style="46" customWidth="1"/>
    <col min="9243" max="9243" width="6" style="46" customWidth="1"/>
    <col min="9244" max="9244" width="16.28515625" style="46" customWidth="1"/>
    <col min="9245" max="9245" width="15.5703125" style="46" customWidth="1"/>
    <col min="9246" max="9246" width="15" style="46" customWidth="1"/>
    <col min="9247" max="9250" width="0" style="46" hidden="1" customWidth="1"/>
    <col min="9251" max="9251" width="19" style="46" customWidth="1"/>
    <col min="9252" max="9252" width="16.42578125" style="46" customWidth="1"/>
    <col min="9253" max="9253" width="20.28515625" style="46" customWidth="1"/>
    <col min="9254" max="9491" width="9.140625" style="46"/>
    <col min="9492" max="9492" width="0" style="46" hidden="1" customWidth="1"/>
    <col min="9493" max="9493" width="36.5703125" style="46" customWidth="1"/>
    <col min="9494" max="9494" width="5.140625" style="46" customWidth="1"/>
    <col min="9495" max="9495" width="6.28515625" style="46" customWidth="1"/>
    <col min="9496" max="9496" width="5.28515625" style="46" customWidth="1"/>
    <col min="9497" max="9497" width="6.7109375" style="46" customWidth="1"/>
    <col min="9498" max="9498" width="10" style="46" customWidth="1"/>
    <col min="9499" max="9499" width="6" style="46" customWidth="1"/>
    <col min="9500" max="9500" width="16.28515625" style="46" customWidth="1"/>
    <col min="9501" max="9501" width="15.5703125" style="46" customWidth="1"/>
    <col min="9502" max="9502" width="15" style="46" customWidth="1"/>
    <col min="9503" max="9506" width="0" style="46" hidden="1" customWidth="1"/>
    <col min="9507" max="9507" width="19" style="46" customWidth="1"/>
    <col min="9508" max="9508" width="16.42578125" style="46" customWidth="1"/>
    <col min="9509" max="9509" width="20.28515625" style="46" customWidth="1"/>
    <col min="9510" max="9747" width="9.140625" style="46"/>
    <col min="9748" max="9748" width="0" style="46" hidden="1" customWidth="1"/>
    <col min="9749" max="9749" width="36.5703125" style="46" customWidth="1"/>
    <col min="9750" max="9750" width="5.140625" style="46" customWidth="1"/>
    <col min="9751" max="9751" width="6.28515625" style="46" customWidth="1"/>
    <col min="9752" max="9752" width="5.28515625" style="46" customWidth="1"/>
    <col min="9753" max="9753" width="6.7109375" style="46" customWidth="1"/>
    <col min="9754" max="9754" width="10" style="46" customWidth="1"/>
    <col min="9755" max="9755" width="6" style="46" customWidth="1"/>
    <col min="9756" max="9756" width="16.28515625" style="46" customWidth="1"/>
    <col min="9757" max="9757" width="15.5703125" style="46" customWidth="1"/>
    <col min="9758" max="9758" width="15" style="46" customWidth="1"/>
    <col min="9759" max="9762" width="0" style="46" hidden="1" customWidth="1"/>
    <col min="9763" max="9763" width="19" style="46" customWidth="1"/>
    <col min="9764" max="9764" width="16.42578125" style="46" customWidth="1"/>
    <col min="9765" max="9765" width="20.28515625" style="46" customWidth="1"/>
    <col min="9766" max="10003" width="9.140625" style="46"/>
    <col min="10004" max="10004" width="0" style="46" hidden="1" customWidth="1"/>
    <col min="10005" max="10005" width="36.5703125" style="46" customWidth="1"/>
    <col min="10006" max="10006" width="5.140625" style="46" customWidth="1"/>
    <col min="10007" max="10007" width="6.28515625" style="46" customWidth="1"/>
    <col min="10008" max="10008" width="5.28515625" style="46" customWidth="1"/>
    <col min="10009" max="10009" width="6.7109375" style="46" customWidth="1"/>
    <col min="10010" max="10010" width="10" style="46" customWidth="1"/>
    <col min="10011" max="10011" width="6" style="46" customWidth="1"/>
    <col min="10012" max="10012" width="16.28515625" style="46" customWidth="1"/>
    <col min="10013" max="10013" width="15.5703125" style="46" customWidth="1"/>
    <col min="10014" max="10014" width="15" style="46" customWidth="1"/>
    <col min="10015" max="10018" width="0" style="46" hidden="1" customWidth="1"/>
    <col min="10019" max="10019" width="19" style="46" customWidth="1"/>
    <col min="10020" max="10020" width="16.42578125" style="46" customWidth="1"/>
    <col min="10021" max="10021" width="20.28515625" style="46" customWidth="1"/>
    <col min="10022" max="10259" width="9.140625" style="46"/>
    <col min="10260" max="10260" width="0" style="46" hidden="1" customWidth="1"/>
    <col min="10261" max="10261" width="36.5703125" style="46" customWidth="1"/>
    <col min="10262" max="10262" width="5.140625" style="46" customWidth="1"/>
    <col min="10263" max="10263" width="6.28515625" style="46" customWidth="1"/>
    <col min="10264" max="10264" width="5.28515625" style="46" customWidth="1"/>
    <col min="10265" max="10265" width="6.7109375" style="46" customWidth="1"/>
    <col min="10266" max="10266" width="10" style="46" customWidth="1"/>
    <col min="10267" max="10267" width="6" style="46" customWidth="1"/>
    <col min="10268" max="10268" width="16.28515625" style="46" customWidth="1"/>
    <col min="10269" max="10269" width="15.5703125" style="46" customWidth="1"/>
    <col min="10270" max="10270" width="15" style="46" customWidth="1"/>
    <col min="10271" max="10274" width="0" style="46" hidden="1" customWidth="1"/>
    <col min="10275" max="10275" width="19" style="46" customWidth="1"/>
    <col min="10276" max="10276" width="16.42578125" style="46" customWidth="1"/>
    <col min="10277" max="10277" width="20.28515625" style="46" customWidth="1"/>
    <col min="10278" max="10515" width="9.140625" style="46"/>
    <col min="10516" max="10516" width="0" style="46" hidden="1" customWidth="1"/>
    <col min="10517" max="10517" width="36.5703125" style="46" customWidth="1"/>
    <col min="10518" max="10518" width="5.140625" style="46" customWidth="1"/>
    <col min="10519" max="10519" width="6.28515625" style="46" customWidth="1"/>
    <col min="10520" max="10520" width="5.28515625" style="46" customWidth="1"/>
    <col min="10521" max="10521" width="6.7109375" style="46" customWidth="1"/>
    <col min="10522" max="10522" width="10" style="46" customWidth="1"/>
    <col min="10523" max="10523" width="6" style="46" customWidth="1"/>
    <col min="10524" max="10524" width="16.28515625" style="46" customWidth="1"/>
    <col min="10525" max="10525" width="15.5703125" style="46" customWidth="1"/>
    <col min="10526" max="10526" width="15" style="46" customWidth="1"/>
    <col min="10527" max="10530" width="0" style="46" hidden="1" customWidth="1"/>
    <col min="10531" max="10531" width="19" style="46" customWidth="1"/>
    <col min="10532" max="10532" width="16.42578125" style="46" customWidth="1"/>
    <col min="10533" max="10533" width="20.28515625" style="46" customWidth="1"/>
    <col min="10534" max="10771" width="9.140625" style="46"/>
    <col min="10772" max="10772" width="0" style="46" hidden="1" customWidth="1"/>
    <col min="10773" max="10773" width="36.5703125" style="46" customWidth="1"/>
    <col min="10774" max="10774" width="5.140625" style="46" customWidth="1"/>
    <col min="10775" max="10775" width="6.28515625" style="46" customWidth="1"/>
    <col min="10776" max="10776" width="5.28515625" style="46" customWidth="1"/>
    <col min="10777" max="10777" width="6.7109375" style="46" customWidth="1"/>
    <col min="10778" max="10778" width="10" style="46" customWidth="1"/>
    <col min="10779" max="10779" width="6" style="46" customWidth="1"/>
    <col min="10780" max="10780" width="16.28515625" style="46" customWidth="1"/>
    <col min="10781" max="10781" width="15.5703125" style="46" customWidth="1"/>
    <col min="10782" max="10782" width="15" style="46" customWidth="1"/>
    <col min="10783" max="10786" width="0" style="46" hidden="1" customWidth="1"/>
    <col min="10787" max="10787" width="19" style="46" customWidth="1"/>
    <col min="10788" max="10788" width="16.42578125" style="46" customWidth="1"/>
    <col min="10789" max="10789" width="20.28515625" style="46" customWidth="1"/>
    <col min="10790" max="11027" width="9.140625" style="46"/>
    <col min="11028" max="11028" width="0" style="46" hidden="1" customWidth="1"/>
    <col min="11029" max="11029" width="36.5703125" style="46" customWidth="1"/>
    <col min="11030" max="11030" width="5.140625" style="46" customWidth="1"/>
    <col min="11031" max="11031" width="6.28515625" style="46" customWidth="1"/>
    <col min="11032" max="11032" width="5.28515625" style="46" customWidth="1"/>
    <col min="11033" max="11033" width="6.7109375" style="46" customWidth="1"/>
    <col min="11034" max="11034" width="10" style="46" customWidth="1"/>
    <col min="11035" max="11035" width="6" style="46" customWidth="1"/>
    <col min="11036" max="11036" width="16.28515625" style="46" customWidth="1"/>
    <col min="11037" max="11037" width="15.5703125" style="46" customWidth="1"/>
    <col min="11038" max="11038" width="15" style="46" customWidth="1"/>
    <col min="11039" max="11042" width="0" style="46" hidden="1" customWidth="1"/>
    <col min="11043" max="11043" width="19" style="46" customWidth="1"/>
    <col min="11044" max="11044" width="16.42578125" style="46" customWidth="1"/>
    <col min="11045" max="11045" width="20.28515625" style="46" customWidth="1"/>
    <col min="11046" max="11283" width="9.140625" style="46"/>
    <col min="11284" max="11284" width="0" style="46" hidden="1" customWidth="1"/>
    <col min="11285" max="11285" width="36.5703125" style="46" customWidth="1"/>
    <col min="11286" max="11286" width="5.140625" style="46" customWidth="1"/>
    <col min="11287" max="11287" width="6.28515625" style="46" customWidth="1"/>
    <col min="11288" max="11288" width="5.28515625" style="46" customWidth="1"/>
    <col min="11289" max="11289" width="6.7109375" style="46" customWidth="1"/>
    <col min="11290" max="11290" width="10" style="46" customWidth="1"/>
    <col min="11291" max="11291" width="6" style="46" customWidth="1"/>
    <col min="11292" max="11292" width="16.28515625" style="46" customWidth="1"/>
    <col min="11293" max="11293" width="15.5703125" style="46" customWidth="1"/>
    <col min="11294" max="11294" width="15" style="46" customWidth="1"/>
    <col min="11295" max="11298" width="0" style="46" hidden="1" customWidth="1"/>
    <col min="11299" max="11299" width="19" style="46" customWidth="1"/>
    <col min="11300" max="11300" width="16.42578125" style="46" customWidth="1"/>
    <col min="11301" max="11301" width="20.28515625" style="46" customWidth="1"/>
    <col min="11302" max="11539" width="9.140625" style="46"/>
    <col min="11540" max="11540" width="0" style="46" hidden="1" customWidth="1"/>
    <col min="11541" max="11541" width="36.5703125" style="46" customWidth="1"/>
    <col min="11542" max="11542" width="5.140625" style="46" customWidth="1"/>
    <col min="11543" max="11543" width="6.28515625" style="46" customWidth="1"/>
    <col min="11544" max="11544" width="5.28515625" style="46" customWidth="1"/>
    <col min="11545" max="11545" width="6.7109375" style="46" customWidth="1"/>
    <col min="11546" max="11546" width="10" style="46" customWidth="1"/>
    <col min="11547" max="11547" width="6" style="46" customWidth="1"/>
    <col min="11548" max="11548" width="16.28515625" style="46" customWidth="1"/>
    <col min="11549" max="11549" width="15.5703125" style="46" customWidth="1"/>
    <col min="11550" max="11550" width="15" style="46" customWidth="1"/>
    <col min="11551" max="11554" width="0" style="46" hidden="1" customWidth="1"/>
    <col min="11555" max="11555" width="19" style="46" customWidth="1"/>
    <col min="11556" max="11556" width="16.42578125" style="46" customWidth="1"/>
    <col min="11557" max="11557" width="20.28515625" style="46" customWidth="1"/>
    <col min="11558" max="11795" width="9.140625" style="46"/>
    <col min="11796" max="11796" width="0" style="46" hidden="1" customWidth="1"/>
    <col min="11797" max="11797" width="36.5703125" style="46" customWidth="1"/>
    <col min="11798" max="11798" width="5.140625" style="46" customWidth="1"/>
    <col min="11799" max="11799" width="6.28515625" style="46" customWidth="1"/>
    <col min="11800" max="11800" width="5.28515625" style="46" customWidth="1"/>
    <col min="11801" max="11801" width="6.7109375" style="46" customWidth="1"/>
    <col min="11802" max="11802" width="10" style="46" customWidth="1"/>
    <col min="11803" max="11803" width="6" style="46" customWidth="1"/>
    <col min="11804" max="11804" width="16.28515625" style="46" customWidth="1"/>
    <col min="11805" max="11805" width="15.5703125" style="46" customWidth="1"/>
    <col min="11806" max="11806" width="15" style="46" customWidth="1"/>
    <col min="11807" max="11810" width="0" style="46" hidden="1" customWidth="1"/>
    <col min="11811" max="11811" width="19" style="46" customWidth="1"/>
    <col min="11812" max="11812" width="16.42578125" style="46" customWidth="1"/>
    <col min="11813" max="11813" width="20.28515625" style="46" customWidth="1"/>
    <col min="11814" max="12051" width="9.140625" style="46"/>
    <col min="12052" max="12052" width="0" style="46" hidden="1" customWidth="1"/>
    <col min="12053" max="12053" width="36.5703125" style="46" customWidth="1"/>
    <col min="12054" max="12054" width="5.140625" style="46" customWidth="1"/>
    <col min="12055" max="12055" width="6.28515625" style="46" customWidth="1"/>
    <col min="12056" max="12056" width="5.28515625" style="46" customWidth="1"/>
    <col min="12057" max="12057" width="6.7109375" style="46" customWidth="1"/>
    <col min="12058" max="12058" width="10" style="46" customWidth="1"/>
    <col min="12059" max="12059" width="6" style="46" customWidth="1"/>
    <col min="12060" max="12060" width="16.28515625" style="46" customWidth="1"/>
    <col min="12061" max="12061" width="15.5703125" style="46" customWidth="1"/>
    <col min="12062" max="12062" width="15" style="46" customWidth="1"/>
    <col min="12063" max="12066" width="0" style="46" hidden="1" customWidth="1"/>
    <col min="12067" max="12067" width="19" style="46" customWidth="1"/>
    <col min="12068" max="12068" width="16.42578125" style="46" customWidth="1"/>
    <col min="12069" max="12069" width="20.28515625" style="46" customWidth="1"/>
    <col min="12070" max="12307" width="9.140625" style="46"/>
    <col min="12308" max="12308" width="0" style="46" hidden="1" customWidth="1"/>
    <col min="12309" max="12309" width="36.5703125" style="46" customWidth="1"/>
    <col min="12310" max="12310" width="5.140625" style="46" customWidth="1"/>
    <col min="12311" max="12311" width="6.28515625" style="46" customWidth="1"/>
    <col min="12312" max="12312" width="5.28515625" style="46" customWidth="1"/>
    <col min="12313" max="12313" width="6.7109375" style="46" customWidth="1"/>
    <col min="12314" max="12314" width="10" style="46" customWidth="1"/>
    <col min="12315" max="12315" width="6" style="46" customWidth="1"/>
    <col min="12316" max="12316" width="16.28515625" style="46" customWidth="1"/>
    <col min="12317" max="12317" width="15.5703125" style="46" customWidth="1"/>
    <col min="12318" max="12318" width="15" style="46" customWidth="1"/>
    <col min="12319" max="12322" width="0" style="46" hidden="1" customWidth="1"/>
    <col min="12323" max="12323" width="19" style="46" customWidth="1"/>
    <col min="12324" max="12324" width="16.42578125" style="46" customWidth="1"/>
    <col min="12325" max="12325" width="20.28515625" style="46" customWidth="1"/>
    <col min="12326" max="12563" width="9.140625" style="46"/>
    <col min="12564" max="12564" width="0" style="46" hidden="1" customWidth="1"/>
    <col min="12565" max="12565" width="36.5703125" style="46" customWidth="1"/>
    <col min="12566" max="12566" width="5.140625" style="46" customWidth="1"/>
    <col min="12567" max="12567" width="6.28515625" style="46" customWidth="1"/>
    <col min="12568" max="12568" width="5.28515625" style="46" customWidth="1"/>
    <col min="12569" max="12569" width="6.7109375" style="46" customWidth="1"/>
    <col min="12570" max="12570" width="10" style="46" customWidth="1"/>
    <col min="12571" max="12571" width="6" style="46" customWidth="1"/>
    <col min="12572" max="12572" width="16.28515625" style="46" customWidth="1"/>
    <col min="12573" max="12573" width="15.5703125" style="46" customWidth="1"/>
    <col min="12574" max="12574" width="15" style="46" customWidth="1"/>
    <col min="12575" max="12578" width="0" style="46" hidden="1" customWidth="1"/>
    <col min="12579" max="12579" width="19" style="46" customWidth="1"/>
    <col min="12580" max="12580" width="16.42578125" style="46" customWidth="1"/>
    <col min="12581" max="12581" width="20.28515625" style="46" customWidth="1"/>
    <col min="12582" max="12819" width="9.140625" style="46"/>
    <col min="12820" max="12820" width="0" style="46" hidden="1" customWidth="1"/>
    <col min="12821" max="12821" width="36.5703125" style="46" customWidth="1"/>
    <col min="12822" max="12822" width="5.140625" style="46" customWidth="1"/>
    <col min="12823" max="12823" width="6.28515625" style="46" customWidth="1"/>
    <col min="12824" max="12824" width="5.28515625" style="46" customWidth="1"/>
    <col min="12825" max="12825" width="6.7109375" style="46" customWidth="1"/>
    <col min="12826" max="12826" width="10" style="46" customWidth="1"/>
    <col min="12827" max="12827" width="6" style="46" customWidth="1"/>
    <col min="12828" max="12828" width="16.28515625" style="46" customWidth="1"/>
    <col min="12829" max="12829" width="15.5703125" style="46" customWidth="1"/>
    <col min="12830" max="12830" width="15" style="46" customWidth="1"/>
    <col min="12831" max="12834" width="0" style="46" hidden="1" customWidth="1"/>
    <col min="12835" max="12835" width="19" style="46" customWidth="1"/>
    <col min="12836" max="12836" width="16.42578125" style="46" customWidth="1"/>
    <col min="12837" max="12837" width="20.28515625" style="46" customWidth="1"/>
    <col min="12838" max="13075" width="9.140625" style="46"/>
    <col min="13076" max="13076" width="0" style="46" hidden="1" customWidth="1"/>
    <col min="13077" max="13077" width="36.5703125" style="46" customWidth="1"/>
    <col min="13078" max="13078" width="5.140625" style="46" customWidth="1"/>
    <col min="13079" max="13079" width="6.28515625" style="46" customWidth="1"/>
    <col min="13080" max="13080" width="5.28515625" style="46" customWidth="1"/>
    <col min="13081" max="13081" width="6.7109375" style="46" customWidth="1"/>
    <col min="13082" max="13082" width="10" style="46" customWidth="1"/>
    <col min="13083" max="13083" width="6" style="46" customWidth="1"/>
    <col min="13084" max="13084" width="16.28515625" style="46" customWidth="1"/>
    <col min="13085" max="13085" width="15.5703125" style="46" customWidth="1"/>
    <col min="13086" max="13086" width="15" style="46" customWidth="1"/>
    <col min="13087" max="13090" width="0" style="46" hidden="1" customWidth="1"/>
    <col min="13091" max="13091" width="19" style="46" customWidth="1"/>
    <col min="13092" max="13092" width="16.42578125" style="46" customWidth="1"/>
    <col min="13093" max="13093" width="20.28515625" style="46" customWidth="1"/>
    <col min="13094" max="13331" width="9.140625" style="46"/>
    <col min="13332" max="13332" width="0" style="46" hidden="1" customWidth="1"/>
    <col min="13333" max="13333" width="36.5703125" style="46" customWidth="1"/>
    <col min="13334" max="13334" width="5.140625" style="46" customWidth="1"/>
    <col min="13335" max="13335" width="6.28515625" style="46" customWidth="1"/>
    <col min="13336" max="13336" width="5.28515625" style="46" customWidth="1"/>
    <col min="13337" max="13337" width="6.7109375" style="46" customWidth="1"/>
    <col min="13338" max="13338" width="10" style="46" customWidth="1"/>
    <col min="13339" max="13339" width="6" style="46" customWidth="1"/>
    <col min="13340" max="13340" width="16.28515625" style="46" customWidth="1"/>
    <col min="13341" max="13341" width="15.5703125" style="46" customWidth="1"/>
    <col min="13342" max="13342" width="15" style="46" customWidth="1"/>
    <col min="13343" max="13346" width="0" style="46" hidden="1" customWidth="1"/>
    <col min="13347" max="13347" width="19" style="46" customWidth="1"/>
    <col min="13348" max="13348" width="16.42578125" style="46" customWidth="1"/>
    <col min="13349" max="13349" width="20.28515625" style="46" customWidth="1"/>
    <col min="13350" max="13587" width="9.140625" style="46"/>
    <col min="13588" max="13588" width="0" style="46" hidden="1" customWidth="1"/>
    <col min="13589" max="13589" width="36.5703125" style="46" customWidth="1"/>
    <col min="13590" max="13590" width="5.140625" style="46" customWidth="1"/>
    <col min="13591" max="13591" width="6.28515625" style="46" customWidth="1"/>
    <col min="13592" max="13592" width="5.28515625" style="46" customWidth="1"/>
    <col min="13593" max="13593" width="6.7109375" style="46" customWidth="1"/>
    <col min="13594" max="13594" width="10" style="46" customWidth="1"/>
    <col min="13595" max="13595" width="6" style="46" customWidth="1"/>
    <col min="13596" max="13596" width="16.28515625" style="46" customWidth="1"/>
    <col min="13597" max="13597" width="15.5703125" style="46" customWidth="1"/>
    <col min="13598" max="13598" width="15" style="46" customWidth="1"/>
    <col min="13599" max="13602" width="0" style="46" hidden="1" customWidth="1"/>
    <col min="13603" max="13603" width="19" style="46" customWidth="1"/>
    <col min="13604" max="13604" width="16.42578125" style="46" customWidth="1"/>
    <col min="13605" max="13605" width="20.28515625" style="46" customWidth="1"/>
    <col min="13606" max="13843" width="9.140625" style="46"/>
    <col min="13844" max="13844" width="0" style="46" hidden="1" customWidth="1"/>
    <col min="13845" max="13845" width="36.5703125" style="46" customWidth="1"/>
    <col min="13846" max="13846" width="5.140625" style="46" customWidth="1"/>
    <col min="13847" max="13847" width="6.28515625" style="46" customWidth="1"/>
    <col min="13848" max="13848" width="5.28515625" style="46" customWidth="1"/>
    <col min="13849" max="13849" width="6.7109375" style="46" customWidth="1"/>
    <col min="13850" max="13850" width="10" style="46" customWidth="1"/>
    <col min="13851" max="13851" width="6" style="46" customWidth="1"/>
    <col min="13852" max="13852" width="16.28515625" style="46" customWidth="1"/>
    <col min="13853" max="13853" width="15.5703125" style="46" customWidth="1"/>
    <col min="13854" max="13854" width="15" style="46" customWidth="1"/>
    <col min="13855" max="13858" width="0" style="46" hidden="1" customWidth="1"/>
    <col min="13859" max="13859" width="19" style="46" customWidth="1"/>
    <col min="13860" max="13860" width="16.42578125" style="46" customWidth="1"/>
    <col min="13861" max="13861" width="20.28515625" style="46" customWidth="1"/>
    <col min="13862" max="14099" width="9.140625" style="46"/>
    <col min="14100" max="14100" width="0" style="46" hidden="1" customWidth="1"/>
    <col min="14101" max="14101" width="36.5703125" style="46" customWidth="1"/>
    <col min="14102" max="14102" width="5.140625" style="46" customWidth="1"/>
    <col min="14103" max="14103" width="6.28515625" style="46" customWidth="1"/>
    <col min="14104" max="14104" width="5.28515625" style="46" customWidth="1"/>
    <col min="14105" max="14105" width="6.7109375" style="46" customWidth="1"/>
    <col min="14106" max="14106" width="10" style="46" customWidth="1"/>
    <col min="14107" max="14107" width="6" style="46" customWidth="1"/>
    <col min="14108" max="14108" width="16.28515625" style="46" customWidth="1"/>
    <col min="14109" max="14109" width="15.5703125" style="46" customWidth="1"/>
    <col min="14110" max="14110" width="15" style="46" customWidth="1"/>
    <col min="14111" max="14114" width="0" style="46" hidden="1" customWidth="1"/>
    <col min="14115" max="14115" width="19" style="46" customWidth="1"/>
    <col min="14116" max="14116" width="16.42578125" style="46" customWidth="1"/>
    <col min="14117" max="14117" width="20.28515625" style="46" customWidth="1"/>
    <col min="14118" max="14355" width="9.140625" style="46"/>
    <col min="14356" max="14356" width="0" style="46" hidden="1" customWidth="1"/>
    <col min="14357" max="14357" width="36.5703125" style="46" customWidth="1"/>
    <col min="14358" max="14358" width="5.140625" style="46" customWidth="1"/>
    <col min="14359" max="14359" width="6.28515625" style="46" customWidth="1"/>
    <col min="14360" max="14360" width="5.28515625" style="46" customWidth="1"/>
    <col min="14361" max="14361" width="6.7109375" style="46" customWidth="1"/>
    <col min="14362" max="14362" width="10" style="46" customWidth="1"/>
    <col min="14363" max="14363" width="6" style="46" customWidth="1"/>
    <col min="14364" max="14364" width="16.28515625" style="46" customWidth="1"/>
    <col min="14365" max="14365" width="15.5703125" style="46" customWidth="1"/>
    <col min="14366" max="14366" width="15" style="46" customWidth="1"/>
    <col min="14367" max="14370" width="0" style="46" hidden="1" customWidth="1"/>
    <col min="14371" max="14371" width="19" style="46" customWidth="1"/>
    <col min="14372" max="14372" width="16.42578125" style="46" customWidth="1"/>
    <col min="14373" max="14373" width="20.28515625" style="46" customWidth="1"/>
    <col min="14374" max="14611" width="9.140625" style="46"/>
    <col min="14612" max="14612" width="0" style="46" hidden="1" customWidth="1"/>
    <col min="14613" max="14613" width="36.5703125" style="46" customWidth="1"/>
    <col min="14614" max="14614" width="5.140625" style="46" customWidth="1"/>
    <col min="14615" max="14615" width="6.28515625" style="46" customWidth="1"/>
    <col min="14616" max="14616" width="5.28515625" style="46" customWidth="1"/>
    <col min="14617" max="14617" width="6.7109375" style="46" customWidth="1"/>
    <col min="14618" max="14618" width="10" style="46" customWidth="1"/>
    <col min="14619" max="14619" width="6" style="46" customWidth="1"/>
    <col min="14620" max="14620" width="16.28515625" style="46" customWidth="1"/>
    <col min="14621" max="14621" width="15.5703125" style="46" customWidth="1"/>
    <col min="14622" max="14622" width="15" style="46" customWidth="1"/>
    <col min="14623" max="14626" width="0" style="46" hidden="1" customWidth="1"/>
    <col min="14627" max="14627" width="19" style="46" customWidth="1"/>
    <col min="14628" max="14628" width="16.42578125" style="46" customWidth="1"/>
    <col min="14629" max="14629" width="20.28515625" style="46" customWidth="1"/>
    <col min="14630" max="14867" width="9.140625" style="46"/>
    <col min="14868" max="14868" width="0" style="46" hidden="1" customWidth="1"/>
    <col min="14869" max="14869" width="36.5703125" style="46" customWidth="1"/>
    <col min="14870" max="14870" width="5.140625" style="46" customWidth="1"/>
    <col min="14871" max="14871" width="6.28515625" style="46" customWidth="1"/>
    <col min="14872" max="14872" width="5.28515625" style="46" customWidth="1"/>
    <col min="14873" max="14873" width="6.7109375" style="46" customWidth="1"/>
    <col min="14874" max="14874" width="10" style="46" customWidth="1"/>
    <col min="14875" max="14875" width="6" style="46" customWidth="1"/>
    <col min="14876" max="14876" width="16.28515625" style="46" customWidth="1"/>
    <col min="14877" max="14877" width="15.5703125" style="46" customWidth="1"/>
    <col min="14878" max="14878" width="15" style="46" customWidth="1"/>
    <col min="14879" max="14882" width="0" style="46" hidden="1" customWidth="1"/>
    <col min="14883" max="14883" width="19" style="46" customWidth="1"/>
    <col min="14884" max="14884" width="16.42578125" style="46" customWidth="1"/>
    <col min="14885" max="14885" width="20.28515625" style="46" customWidth="1"/>
    <col min="14886" max="15123" width="9.140625" style="46"/>
    <col min="15124" max="15124" width="0" style="46" hidden="1" customWidth="1"/>
    <col min="15125" max="15125" width="36.5703125" style="46" customWidth="1"/>
    <col min="15126" max="15126" width="5.140625" style="46" customWidth="1"/>
    <col min="15127" max="15127" width="6.28515625" style="46" customWidth="1"/>
    <col min="15128" max="15128" width="5.28515625" style="46" customWidth="1"/>
    <col min="15129" max="15129" width="6.7109375" style="46" customWidth="1"/>
    <col min="15130" max="15130" width="10" style="46" customWidth="1"/>
    <col min="15131" max="15131" width="6" style="46" customWidth="1"/>
    <col min="15132" max="15132" width="16.28515625" style="46" customWidth="1"/>
    <col min="15133" max="15133" width="15.5703125" style="46" customWidth="1"/>
    <col min="15134" max="15134" width="15" style="46" customWidth="1"/>
    <col min="15135" max="15138" width="0" style="46" hidden="1" customWidth="1"/>
    <col min="15139" max="15139" width="19" style="46" customWidth="1"/>
    <col min="15140" max="15140" width="16.42578125" style="46" customWidth="1"/>
    <col min="15141" max="15141" width="20.28515625" style="46" customWidth="1"/>
    <col min="15142" max="15379" width="9.140625" style="46"/>
    <col min="15380" max="15380" width="0" style="46" hidden="1" customWidth="1"/>
    <col min="15381" max="15381" width="36.5703125" style="46" customWidth="1"/>
    <col min="15382" max="15382" width="5.140625" style="46" customWidth="1"/>
    <col min="15383" max="15383" width="6.28515625" style="46" customWidth="1"/>
    <col min="15384" max="15384" width="5.28515625" style="46" customWidth="1"/>
    <col min="15385" max="15385" width="6.7109375" style="46" customWidth="1"/>
    <col min="15386" max="15386" width="10" style="46" customWidth="1"/>
    <col min="15387" max="15387" width="6" style="46" customWidth="1"/>
    <col min="15388" max="15388" width="16.28515625" style="46" customWidth="1"/>
    <col min="15389" max="15389" width="15.5703125" style="46" customWidth="1"/>
    <col min="15390" max="15390" width="15" style="46" customWidth="1"/>
    <col min="15391" max="15394" width="0" style="46" hidden="1" customWidth="1"/>
    <col min="15395" max="15395" width="19" style="46" customWidth="1"/>
    <col min="15396" max="15396" width="16.42578125" style="46" customWidth="1"/>
    <col min="15397" max="15397" width="20.28515625" style="46" customWidth="1"/>
    <col min="15398" max="15635" width="9.140625" style="46"/>
    <col min="15636" max="15636" width="0" style="46" hidden="1" customWidth="1"/>
    <col min="15637" max="15637" width="36.5703125" style="46" customWidth="1"/>
    <col min="15638" max="15638" width="5.140625" style="46" customWidth="1"/>
    <col min="15639" max="15639" width="6.28515625" style="46" customWidth="1"/>
    <col min="15640" max="15640" width="5.28515625" style="46" customWidth="1"/>
    <col min="15641" max="15641" width="6.7109375" style="46" customWidth="1"/>
    <col min="15642" max="15642" width="10" style="46" customWidth="1"/>
    <col min="15643" max="15643" width="6" style="46" customWidth="1"/>
    <col min="15644" max="15644" width="16.28515625" style="46" customWidth="1"/>
    <col min="15645" max="15645" width="15.5703125" style="46" customWidth="1"/>
    <col min="15646" max="15646" width="15" style="46" customWidth="1"/>
    <col min="15647" max="15650" width="0" style="46" hidden="1" customWidth="1"/>
    <col min="15651" max="15651" width="19" style="46" customWidth="1"/>
    <col min="15652" max="15652" width="16.42578125" style="46" customWidth="1"/>
    <col min="15653" max="15653" width="20.28515625" style="46" customWidth="1"/>
    <col min="15654" max="15891" width="9.140625" style="46"/>
    <col min="15892" max="15892" width="0" style="46" hidden="1" customWidth="1"/>
    <col min="15893" max="15893" width="36.5703125" style="46" customWidth="1"/>
    <col min="15894" max="15894" width="5.140625" style="46" customWidth="1"/>
    <col min="15895" max="15895" width="6.28515625" style="46" customWidth="1"/>
    <col min="15896" max="15896" width="5.28515625" style="46" customWidth="1"/>
    <col min="15897" max="15897" width="6.7109375" style="46" customWidth="1"/>
    <col min="15898" max="15898" width="10" style="46" customWidth="1"/>
    <col min="15899" max="15899" width="6" style="46" customWidth="1"/>
    <col min="15900" max="15900" width="16.28515625" style="46" customWidth="1"/>
    <col min="15901" max="15901" width="15.5703125" style="46" customWidth="1"/>
    <col min="15902" max="15902" width="15" style="46" customWidth="1"/>
    <col min="15903" max="15906" width="0" style="46" hidden="1" customWidth="1"/>
    <col min="15907" max="15907" width="19" style="46" customWidth="1"/>
    <col min="15908" max="15908" width="16.42578125" style="46" customWidth="1"/>
    <col min="15909" max="15909" width="20.28515625" style="46" customWidth="1"/>
    <col min="15910" max="16147" width="9.140625" style="46"/>
    <col min="16148" max="16148" width="0" style="46" hidden="1" customWidth="1"/>
    <col min="16149" max="16149" width="36.5703125" style="46" customWidth="1"/>
    <col min="16150" max="16150" width="5.140625" style="46" customWidth="1"/>
    <col min="16151" max="16151" width="6.28515625" style="46" customWidth="1"/>
    <col min="16152" max="16152" width="5.28515625" style="46" customWidth="1"/>
    <col min="16153" max="16153" width="6.7109375" style="46" customWidth="1"/>
    <col min="16154" max="16154" width="10" style="46" customWidth="1"/>
    <col min="16155" max="16155" width="6" style="46" customWidth="1"/>
    <col min="16156" max="16156" width="16.28515625" style="46" customWidth="1"/>
    <col min="16157" max="16157" width="15.5703125" style="46" customWidth="1"/>
    <col min="16158" max="16158" width="15" style="46" customWidth="1"/>
    <col min="16159" max="16162" width="0" style="46" hidden="1" customWidth="1"/>
    <col min="16163" max="16163" width="19" style="46" customWidth="1"/>
    <col min="16164" max="16164" width="16.42578125" style="46" customWidth="1"/>
    <col min="16165" max="16165" width="20.28515625" style="46" customWidth="1"/>
    <col min="16166" max="16384" width="9.140625" style="46"/>
  </cols>
  <sheetData>
    <row r="2" spans="1:51" ht="59.25" customHeight="1" x14ac:dyDescent="0.25">
      <c r="B2" s="62"/>
      <c r="C2" s="63"/>
      <c r="D2" s="63"/>
      <c r="E2" s="63"/>
      <c r="F2" s="64"/>
      <c r="G2" s="63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70" t="s">
        <v>368</v>
      </c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</row>
    <row r="3" spans="1:51" x14ac:dyDescent="0.25">
      <c r="B3" s="62"/>
      <c r="C3" s="63"/>
      <c r="D3" s="63"/>
      <c r="E3" s="63"/>
      <c r="F3" s="64"/>
      <c r="G3" s="63"/>
      <c r="H3" s="65"/>
      <c r="I3" s="65"/>
      <c r="J3" s="66"/>
      <c r="K3" s="66"/>
      <c r="L3" s="66"/>
      <c r="M3" s="66"/>
      <c r="N3" s="66"/>
      <c r="O3" s="66"/>
      <c r="P3" s="66"/>
      <c r="Q3" s="66"/>
      <c r="R3" s="66"/>
      <c r="S3" s="66"/>
      <c r="T3" s="67"/>
      <c r="U3" s="67"/>
      <c r="V3" s="67"/>
      <c r="W3" s="67"/>
      <c r="X3" s="67"/>
      <c r="Y3" s="63"/>
      <c r="Z3" s="63"/>
      <c r="AA3" s="63"/>
      <c r="AB3" s="63"/>
      <c r="AC3" s="63"/>
      <c r="AD3" s="63"/>
      <c r="AE3" s="63"/>
      <c r="AF3" s="68"/>
      <c r="AG3" s="68"/>
      <c r="AH3" s="68"/>
      <c r="AI3" s="68"/>
      <c r="AJ3" s="68"/>
      <c r="AK3" s="68"/>
      <c r="AL3" s="68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</row>
    <row r="4" spans="1:51" ht="32.25" customHeight="1" x14ac:dyDescent="0.25">
      <c r="B4" s="62"/>
      <c r="C4" s="63"/>
      <c r="D4" s="63"/>
      <c r="E4" s="63"/>
      <c r="F4" s="64"/>
      <c r="G4" s="63"/>
      <c r="H4" s="65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71" t="s">
        <v>336</v>
      </c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</row>
    <row r="5" spans="1:51" hidden="1" x14ac:dyDescent="0.25"/>
    <row r="6" spans="1:51" ht="27" customHeight="1" x14ac:dyDescent="0.2">
      <c r="B6" s="74" t="s">
        <v>331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51" ht="34.5" customHeight="1" x14ac:dyDescent="0.25">
      <c r="B7" s="76" t="s">
        <v>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Z7" s="78"/>
      <c r="AA7" s="78"/>
      <c r="AB7" s="78"/>
      <c r="AC7" s="78"/>
      <c r="AD7" s="78"/>
    </row>
    <row r="8" spans="1:51" hidden="1" x14ac:dyDescent="0.25">
      <c r="B8" s="1"/>
      <c r="C8" s="51"/>
      <c r="D8" s="51"/>
      <c r="E8" s="51"/>
      <c r="F8" s="48"/>
      <c r="G8" s="51"/>
      <c r="H8" s="51"/>
      <c r="I8" s="51"/>
      <c r="J8" s="10"/>
      <c r="K8" s="10"/>
      <c r="L8" s="10"/>
      <c r="M8" s="10"/>
      <c r="N8" s="10"/>
      <c r="O8" s="10"/>
      <c r="P8" s="10"/>
      <c r="Q8" s="10"/>
      <c r="R8" s="10"/>
      <c r="S8" s="10"/>
      <c r="Y8" s="51"/>
      <c r="Z8" s="51"/>
      <c r="AA8" s="51"/>
      <c r="AB8" s="51"/>
      <c r="AC8" s="51"/>
      <c r="AD8" s="48" t="s">
        <v>1</v>
      </c>
    </row>
    <row r="9" spans="1:51" ht="43.5" customHeight="1" x14ac:dyDescent="0.25">
      <c r="A9" s="2" t="s">
        <v>2</v>
      </c>
      <c r="B9" s="2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8</v>
      </c>
      <c r="I9" s="12" t="s">
        <v>9</v>
      </c>
      <c r="J9" s="12" t="s">
        <v>328</v>
      </c>
      <c r="K9" s="12" t="s">
        <v>328</v>
      </c>
      <c r="L9" s="12" t="s">
        <v>345</v>
      </c>
      <c r="M9" s="12" t="s">
        <v>346</v>
      </c>
      <c r="N9" s="12" t="s">
        <v>348</v>
      </c>
      <c r="O9" s="12" t="s">
        <v>351</v>
      </c>
      <c r="P9" s="12" t="s">
        <v>359</v>
      </c>
      <c r="Q9" s="12" t="s">
        <v>360</v>
      </c>
      <c r="R9" s="12" t="s">
        <v>362</v>
      </c>
      <c r="S9" s="12" t="s">
        <v>369</v>
      </c>
      <c r="T9" s="12" t="s">
        <v>9</v>
      </c>
      <c r="U9" s="12" t="s">
        <v>329</v>
      </c>
      <c r="V9" s="12"/>
      <c r="W9" s="12" t="s">
        <v>344</v>
      </c>
      <c r="X9" s="12"/>
      <c r="Y9" s="12" t="s">
        <v>10</v>
      </c>
      <c r="Z9" s="12" t="s">
        <v>329</v>
      </c>
      <c r="AA9" s="12"/>
      <c r="AB9" s="12" t="s">
        <v>344</v>
      </c>
      <c r="AC9" s="12"/>
      <c r="AD9" s="12" t="s">
        <v>11</v>
      </c>
    </row>
    <row r="10" spans="1:51" x14ac:dyDescent="0.25">
      <c r="A10" s="2" t="s">
        <v>12</v>
      </c>
      <c r="B10" s="2" t="s">
        <v>12</v>
      </c>
      <c r="C10" s="11" t="s">
        <v>13</v>
      </c>
      <c r="D10" s="11" t="s">
        <v>14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1">
        <v>8</v>
      </c>
      <c r="U10" s="11"/>
      <c r="V10" s="11"/>
      <c r="W10" s="11"/>
      <c r="X10" s="11"/>
      <c r="Y10" s="11">
        <v>8</v>
      </c>
      <c r="Z10" s="11"/>
      <c r="AA10" s="11"/>
      <c r="AB10" s="11"/>
      <c r="AC10" s="11"/>
      <c r="AD10" s="11">
        <v>8</v>
      </c>
    </row>
    <row r="11" spans="1:51" ht="29.25" customHeight="1" x14ac:dyDescent="0.25">
      <c r="A11" s="3" t="s">
        <v>15</v>
      </c>
      <c r="B11" s="3" t="s">
        <v>361</v>
      </c>
      <c r="C11" s="13" t="s">
        <v>16</v>
      </c>
      <c r="D11" s="13"/>
      <c r="E11" s="13"/>
      <c r="F11" s="13"/>
      <c r="G11" s="13"/>
      <c r="H11" s="14"/>
      <c r="I11" s="15">
        <f t="shared" ref="I11:T11" si="0">I12+I321+I332+I375</f>
        <v>237181888.67999998</v>
      </c>
      <c r="J11" s="15">
        <f t="shared" si="0"/>
        <v>5592795.3899999997</v>
      </c>
      <c r="K11" s="15">
        <f t="shared" si="0"/>
        <v>38718186.279999994</v>
      </c>
      <c r="L11" s="15">
        <f t="shared" si="0"/>
        <v>4119130.3600000003</v>
      </c>
      <c r="M11" s="15">
        <f t="shared" si="0"/>
        <v>-59956.209999999963</v>
      </c>
      <c r="N11" s="15">
        <f t="shared" si="0"/>
        <v>2758465.2</v>
      </c>
      <c r="O11" s="15">
        <f t="shared" si="0"/>
        <v>-570305.05000000005</v>
      </c>
      <c r="P11" s="15">
        <f t="shared" si="0"/>
        <v>64490059.479999997</v>
      </c>
      <c r="Q11" s="15"/>
      <c r="R11" s="15">
        <f t="shared" ref="R11" si="1">R12+R321+R332+R375</f>
        <v>-130886.35</v>
      </c>
      <c r="S11" s="15"/>
      <c r="T11" s="15">
        <f t="shared" si="0"/>
        <v>352250708.85000002</v>
      </c>
      <c r="U11" s="15"/>
      <c r="V11" s="15"/>
      <c r="W11" s="15"/>
      <c r="X11" s="15"/>
      <c r="Y11" s="15">
        <f>Y12+Y321+Y332+Y375</f>
        <v>289261765.31</v>
      </c>
      <c r="Z11" s="15"/>
      <c r="AA11" s="15"/>
      <c r="AB11" s="15"/>
      <c r="AC11" s="15"/>
      <c r="AD11" s="15">
        <f>AD12+AD321+AD332+AD375</f>
        <v>249883814.94999999</v>
      </c>
      <c r="AI11" s="10">
        <v>434052</v>
      </c>
      <c r="AJ11" s="10">
        <v>434052</v>
      </c>
      <c r="AK11" s="10">
        <v>434052</v>
      </c>
      <c r="AM11" s="46">
        <v>12020</v>
      </c>
    </row>
    <row r="12" spans="1:51" ht="34.5" customHeight="1" x14ac:dyDescent="0.25">
      <c r="A12" s="4" t="s">
        <v>17</v>
      </c>
      <c r="B12" s="4" t="s">
        <v>18</v>
      </c>
      <c r="C12" s="13" t="s">
        <v>16</v>
      </c>
      <c r="D12" s="13">
        <v>1</v>
      </c>
      <c r="E12" s="13"/>
      <c r="F12" s="16"/>
      <c r="G12" s="17"/>
      <c r="H12" s="18"/>
      <c r="I12" s="15">
        <f t="shared" ref="I12:T12" si="2">I13</f>
        <v>202209889.68000001</v>
      </c>
      <c r="J12" s="15">
        <f t="shared" si="2"/>
        <v>4184522.76</v>
      </c>
      <c r="K12" s="15">
        <f t="shared" si="2"/>
        <v>38511355.479999997</v>
      </c>
      <c r="L12" s="15">
        <f t="shared" si="2"/>
        <v>3996130.3600000003</v>
      </c>
      <c r="M12" s="15">
        <f t="shared" si="2"/>
        <v>-59956.209999999963</v>
      </c>
      <c r="N12" s="15">
        <f t="shared" si="2"/>
        <v>2709915.2</v>
      </c>
      <c r="O12" s="15">
        <f t="shared" si="2"/>
        <v>-570305.05000000005</v>
      </c>
      <c r="P12" s="15">
        <f t="shared" si="2"/>
        <v>64490059.479999997</v>
      </c>
      <c r="Q12" s="15"/>
      <c r="R12" s="15">
        <f t="shared" si="2"/>
        <v>-188374.35</v>
      </c>
      <c r="S12" s="15"/>
      <c r="T12" s="15">
        <f t="shared" si="2"/>
        <v>315026808.96000004</v>
      </c>
      <c r="U12" s="15"/>
      <c r="V12" s="15"/>
      <c r="W12" s="15"/>
      <c r="X12" s="15"/>
      <c r="Y12" s="15">
        <f>Y13</f>
        <v>255657565.76999998</v>
      </c>
      <c r="Z12" s="15"/>
      <c r="AA12" s="15"/>
      <c r="AB12" s="15"/>
      <c r="AC12" s="15"/>
      <c r="AD12" s="15">
        <f>AD13</f>
        <v>211881290.28</v>
      </c>
      <c r="AI12" s="10">
        <v>1301556</v>
      </c>
      <c r="AJ12" s="10">
        <v>1301556</v>
      </c>
      <c r="AK12" s="10">
        <v>1301556</v>
      </c>
      <c r="AM12" s="46">
        <v>12020</v>
      </c>
    </row>
    <row r="13" spans="1:51" ht="30" customHeight="1" x14ac:dyDescent="0.25">
      <c r="A13" s="4" t="s">
        <v>19</v>
      </c>
      <c r="B13" s="4" t="s">
        <v>19</v>
      </c>
      <c r="C13" s="13" t="s">
        <v>16</v>
      </c>
      <c r="D13" s="13">
        <v>1</v>
      </c>
      <c r="E13" s="13">
        <v>11</v>
      </c>
      <c r="F13" s="16"/>
      <c r="G13" s="17"/>
      <c r="H13" s="18"/>
      <c r="I13" s="15">
        <f t="shared" ref="I13:T13" si="3">I14+I230+I235+I240+I245+I305</f>
        <v>202209889.68000001</v>
      </c>
      <c r="J13" s="15">
        <f t="shared" si="3"/>
        <v>4184522.76</v>
      </c>
      <c r="K13" s="15">
        <f t="shared" si="3"/>
        <v>38511355.479999997</v>
      </c>
      <c r="L13" s="15">
        <f t="shared" si="3"/>
        <v>3996130.3600000003</v>
      </c>
      <c r="M13" s="15">
        <f t="shared" si="3"/>
        <v>-59956.209999999963</v>
      </c>
      <c r="N13" s="15">
        <f t="shared" si="3"/>
        <v>2709915.2</v>
      </c>
      <c r="O13" s="15">
        <f t="shared" si="3"/>
        <v>-570305.05000000005</v>
      </c>
      <c r="P13" s="15">
        <f t="shared" si="3"/>
        <v>64490059.479999997</v>
      </c>
      <c r="Q13" s="15"/>
      <c r="R13" s="15">
        <f t="shared" ref="R13" si="4">R14+R230+R235+R240+R245+R305</f>
        <v>-188374.35</v>
      </c>
      <c r="S13" s="15"/>
      <c r="T13" s="15">
        <f t="shared" si="3"/>
        <v>315026808.96000004</v>
      </c>
      <c r="U13" s="15"/>
      <c r="V13" s="15"/>
      <c r="W13" s="15"/>
      <c r="X13" s="15"/>
      <c r="Y13" s="15">
        <f>Y14+Y230+Y235+Y240+Y245+Y305</f>
        <v>255657565.76999998</v>
      </c>
      <c r="Z13" s="15"/>
      <c r="AA13" s="15"/>
      <c r="AB13" s="15"/>
      <c r="AC13" s="15"/>
      <c r="AD13" s="15">
        <f>AD14+AD230+AD235+AD240+AD245+AD305</f>
        <v>211881290.28</v>
      </c>
      <c r="AI13" s="10">
        <f>SUM(AI11:AI12)</f>
        <v>1735608</v>
      </c>
      <c r="AJ13" s="10">
        <f>SUM(AJ11:AJ12)</f>
        <v>1735608</v>
      </c>
      <c r="AK13" s="10">
        <f>SUM(AK11:AK12)</f>
        <v>1735608</v>
      </c>
    </row>
    <row r="14" spans="1:51" ht="18" customHeight="1" x14ac:dyDescent="0.25">
      <c r="A14" s="4" t="s">
        <v>20</v>
      </c>
      <c r="B14" s="4" t="s">
        <v>20</v>
      </c>
      <c r="C14" s="13" t="s">
        <v>16</v>
      </c>
      <c r="D14" s="13">
        <v>1</v>
      </c>
      <c r="E14" s="13">
        <v>11</v>
      </c>
      <c r="F14" s="13">
        <v>902</v>
      </c>
      <c r="G14" s="17"/>
      <c r="H14" s="18"/>
      <c r="I14" s="15">
        <f>I15+I23+I27+I31+I35+I44+I48+I54+I62+I66+I74+I80+I94+I97+I104+I108+I112+I116+I120+I129+I137+I141+I145+I149+I153+I157+I167+I177+I181+I189+I200+I212+I216+I223+I250+I258+I271+I280+I293+I309+I262+I313+I254+I185+I317+I297+I289</f>
        <v>202209889.68000001</v>
      </c>
      <c r="J14" s="15">
        <f>J15+J23+J27+J31+J35+J44+J48+J54+J62+J66+J74+J80+J94+J97+J104+J108+J112+J116+J120+J129+J137+J141+J145+J149+J153+J157+J167+J177+J181+J189+J200+J212+J216+J223+J250+J258+J271+J280+J293+J309+J262+J313+J254+J185+J317+J297+J289+J301</f>
        <v>4184522.76</v>
      </c>
      <c r="K14" s="15">
        <f>K15+K23+K27+K31+K35+K44+K48+K54+K62+K66+K74+K80+K94+K97+K104+K108+K112+K116+K120+K129+K137+K141+K145+K149+K153+K157+K167+K177+K181+K189+K200+K212+K216+K223+K250+K258+K271+K280+K293+K309+K262+K313+K254+K185+K317+K297+K289+K301</f>
        <v>38511355.479999997</v>
      </c>
      <c r="L14" s="15">
        <f>L15+L23+L27+L31+L35+L44+L48+L54+L62+L66+L74+L80+L94+L97+L104+L108+L112+L116+L120+L129+L137+L141+L145+L149+L153+L157+L167+L177+L181+L189+L200+L212+L216+L223+L250+L258+L271+L280+L293+L309+L262+L313+L254+L185+L317+L297+L289+L301+L70</f>
        <v>3996130.3600000003</v>
      </c>
      <c r="M14" s="15">
        <f>M15+M23+M27+M31+M35+M44+M48+M54+M62+M66+M74+M80+M94+M97+M104+M108+M112+M116+M120+M129+M137+M141+M145+M149+M153+M157+M167+M177+M181+M189+M200+M212+M216+M223+M250+M258+M271+M280+M293+M309+M262+M313+M254+M185+M317+M297+M289+M301+M70</f>
        <v>-59956.209999999963</v>
      </c>
      <c r="N14" s="15">
        <f>N15+N23+N27+N31+N35+N44+N48+N54+N62+N66+N74+N80+N94+N97+N104+N108+N112+N116+N120+N129+N137+N141+N145+N149+N153+N157+N167+N177+N181+N189+N200+N212+N216+N223+N250+N258+N271+N280+N293+N309+N262+N313+N254+N185+N317+N297+N289+N301+N70+N133</f>
        <v>2709915.2</v>
      </c>
      <c r="O14" s="15">
        <f>O15+O23+O27+O31+O35+O44+O48+O54+O62+O66+O74+O80+O94+O97+O104+O108+O112+O116+O120+O129+O137+O141+O145+O149+O153+O157+O167+O177+O181+O189+O200+O212+O216+O223+O250+O258+O271+O280+O293+O309+O262+O313+O254+O185+O317+O297+O289+O301+O70+O133</f>
        <v>-570305.05000000005</v>
      </c>
      <c r="P14" s="15">
        <f>P15+P23+P27+P31+P35+P44+P48+P54+P62+P66+P74+P80+P94+P97+P104+P108+P112+P116+P120+P129+P137+P141+P145+P149+P153+P157+P167+P177+P181+P189+P200+P212+P216+P223+P250+P258+P271+P280+P293+P309+P262+P313+P254+P185+P317+P297+P289+P301+P70+P133+P275</f>
        <v>64490059.479999997</v>
      </c>
      <c r="Q14" s="15"/>
      <c r="R14" s="15">
        <f>R15+R23+R27+R31+R35+R44+R48+R54+R62+R66+R74+R80+R94+R97+R104+R108+R112+R116+R120+R129+R137+R141+R145+R149+R153+R157+R167+R177+R181+R189+R200+R212+R216+R223+R250+R258+R271+R280+R293+R309+R262+R313+R254+R185+R317+R297+R289+R301+R70+R133+R275</f>
        <v>-188374.35</v>
      </c>
      <c r="S14" s="15"/>
      <c r="T14" s="15">
        <f>T15+T23+T27+T31+T35+T44+T48+T54+T62+T66+T74+T80+T94+T97+T104+T108+T112+T116+T120+T129+T137+T141+T145+T149+T153+T157+T167+T177+T181+T189+T200+T212+T216+T223+T250+T258+T271+T280+T293+T309+T262+T313+T254+T185+T317+T297+T289+T301+T70+T133+T275</f>
        <v>315026808.96000004</v>
      </c>
      <c r="U14" s="15"/>
      <c r="V14" s="15"/>
      <c r="W14" s="15"/>
      <c r="X14" s="15"/>
      <c r="Y14" s="15">
        <f>Y15+Y23+Y27+Y31+Y35+Y44+Y48+Y54+Y62+Y66+Y74+Y80+Y94+Y97+Y104+Y108+Y112+Y116+Y120+Y129+Y137+Y141+Y145+Y149+Y153+Y157+Y167+Y177+Y181+Y189+Y200+Y212+Y216+Y223+Y250+Y258+Y271+Y280+Y293+Y309+Y262+Y313+Y254+Y185+Y317+Y297+Y289+Y301+Y70+Y133+Y275</f>
        <v>255657565.76999998</v>
      </c>
      <c r="Z14" s="15"/>
      <c r="AA14" s="15"/>
      <c r="AB14" s="15"/>
      <c r="AC14" s="15"/>
      <c r="AD14" s="15">
        <f>AD15+AD23+AD27+AD31+AD35+AD44+AD48+AD54+AD62+AD66+AD74+AD80+AD94+AD97+AD104+AD108+AD112+AD116+AD120+AD129+AD137+AD141+AD145+AD149+AD153+AD157+AD167+AD177+AD181+AD189+AD200+AD212+AD216+AD223+AD250+AD258+AD271+AD280+AD293+AD309+AD262+AD313+AD254+AD185+AD317+AD297+AD289+AD301+AD70+AD133+AD275</f>
        <v>211881290.28</v>
      </c>
      <c r="AE14" s="15" t="e">
        <f>AE15+AE23+AE27+AE31+AE35+AE44+AE48+AE54+AE62+AE66+AE74+AE80+AE94+AE97+AE104+AE108+AE112+AE116+AE120+AE129+AE137+AE141+AE145+AE149+AE153+AE157+AE167+AE177+AE181+AE189+AE200+AE212+AE216+AE223+AE250+AE258+AE271+AE280+AE293+AE309+AE262+AE313+AE254+AE185+AE317+AE297+AE289</f>
        <v>#VALUE!</v>
      </c>
      <c r="AF14" s="15">
        <f>AF15+AF23+AF27+AF31+AF35+AF44+AF48+AF54+AF62+AF66+AF74+AF80+AF94+AF97+AF104+AF108+AF112+AF116+AF120+AF129+AF137+AF141+AF145+AF149+AF153+AF157+AF167+AF177+AF181+AF189+AF200+AF212+AF216+AF223+AF250+AF258+AF271+AF280+AF293+AF309+AF262+AF313+AF254+AF185+AF317+AF297+AF289</f>
        <v>8610772.2400000002</v>
      </c>
      <c r="AG14" s="15">
        <f>AG15+AG23+AG27+AG31+AG35+AG44+AG48+AG54+AG62+AG66+AG74+AG80+AG94+AG97+AG104+AG108+AG112+AG116+AG120+AG129+AG137+AG141+AG145+AG149+AG153+AG157+AG167+AG177+AG181+AG189+AG200+AG212+AG216+AG223+AG250+AG258+AG271+AG280+AG293+AG309+AG262+AG313+AG254+AG185+AG317+AG297+AG289</f>
        <v>8928384.9900000002</v>
      </c>
      <c r="AH14" s="15">
        <f>AH15+AH23+AH27+AH31+AH35+AH44+AH48+AH54+AH62+AH66+AH74+AH80+AH94+AH97+AH104+AH108+AH112+AH116+AH120+AH129+AH137+AH141+AH145+AH149+AH153+AH157+AH167+AH177+AH181+AH189+AH200+AH212+AH216+AH223+AH250+AH258+AH271+AH280+AH293+AH309+AH262+AH313+AH254+AH185+AH317+AH297+AH289</f>
        <v>9117985.5600000005</v>
      </c>
    </row>
    <row r="15" spans="1:51" ht="72.75" customHeight="1" x14ac:dyDescent="0.25">
      <c r="A15" s="4"/>
      <c r="B15" s="6" t="s">
        <v>21</v>
      </c>
      <c r="C15" s="19" t="s">
        <v>16</v>
      </c>
      <c r="D15" s="13">
        <v>1</v>
      </c>
      <c r="E15" s="13">
        <v>11</v>
      </c>
      <c r="F15" s="13">
        <v>902</v>
      </c>
      <c r="G15" s="13">
        <v>12020</v>
      </c>
      <c r="H15" s="14"/>
      <c r="I15" s="15">
        <f>I16+I20</f>
        <v>1735607.9999999998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>
        <f>T16+T20</f>
        <v>1735607.9999999998</v>
      </c>
      <c r="U15" s="15"/>
      <c r="V15" s="15"/>
      <c r="W15" s="15"/>
      <c r="X15" s="15"/>
      <c r="Y15" s="15">
        <f t="shared" ref="Y15:AH15" si="5">Y16+Y20</f>
        <v>1735608</v>
      </c>
      <c r="Z15" s="15"/>
      <c r="AA15" s="15"/>
      <c r="AB15" s="15"/>
      <c r="AC15" s="15"/>
      <c r="AD15" s="15">
        <f t="shared" si="5"/>
        <v>1735608</v>
      </c>
      <c r="AE15" s="15">
        <f t="shared" si="5"/>
        <v>0</v>
      </c>
      <c r="AF15" s="15">
        <f t="shared" si="5"/>
        <v>0</v>
      </c>
      <c r="AG15" s="15">
        <f t="shared" si="5"/>
        <v>0</v>
      </c>
      <c r="AH15" s="15">
        <f t="shared" si="5"/>
        <v>0</v>
      </c>
      <c r="AI15" s="20">
        <v>289404.68</v>
      </c>
      <c r="AJ15" s="20">
        <v>300550.84000000003</v>
      </c>
      <c r="AK15" s="20">
        <v>312572.87</v>
      </c>
      <c r="AM15" s="46">
        <v>121</v>
      </c>
    </row>
    <row r="16" spans="1:51" ht="54" customHeight="1" x14ac:dyDescent="0.25">
      <c r="A16" s="4"/>
      <c r="B16" s="5" t="s">
        <v>22</v>
      </c>
      <c r="C16" s="2" t="s">
        <v>16</v>
      </c>
      <c r="D16" s="11">
        <v>1</v>
      </c>
      <c r="E16" s="11">
        <v>11</v>
      </c>
      <c r="F16" s="11">
        <v>902</v>
      </c>
      <c r="G16" s="11">
        <v>12020</v>
      </c>
      <c r="H16" s="21">
        <v>100</v>
      </c>
      <c r="I16" s="20">
        <f>I17</f>
        <v>1511063.2999999998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>
        <f>T17</f>
        <v>1511063.2999999998</v>
      </c>
      <c r="U16" s="20"/>
      <c r="V16" s="20"/>
      <c r="W16" s="20"/>
      <c r="X16" s="20"/>
      <c r="Y16" s="20">
        <f>Y17</f>
        <v>1569270.57</v>
      </c>
      <c r="Z16" s="20"/>
      <c r="AA16" s="20"/>
      <c r="AB16" s="20"/>
      <c r="AC16" s="20"/>
      <c r="AD16" s="20">
        <f>AD17</f>
        <v>1632030.96</v>
      </c>
      <c r="AI16" s="10">
        <v>871166.2</v>
      </c>
      <c r="AJ16" s="10">
        <v>904718.41</v>
      </c>
      <c r="AK16" s="10">
        <v>940907.13</v>
      </c>
      <c r="AM16" s="46">
        <v>121</v>
      </c>
    </row>
    <row r="17" spans="1:39" ht="27.75" customHeight="1" x14ac:dyDescent="0.25">
      <c r="A17" s="4"/>
      <c r="B17" s="5" t="s">
        <v>23</v>
      </c>
      <c r="C17" s="2" t="s">
        <v>16</v>
      </c>
      <c r="D17" s="11">
        <v>1</v>
      </c>
      <c r="E17" s="11">
        <v>11</v>
      </c>
      <c r="F17" s="11">
        <v>902</v>
      </c>
      <c r="G17" s="11">
        <v>12020</v>
      </c>
      <c r="H17" s="21">
        <v>120</v>
      </c>
      <c r="I17" s="20">
        <f>I18+I19</f>
        <v>1511063.2999999998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f>T18+T19</f>
        <v>1511063.2999999998</v>
      </c>
      <c r="U17" s="20"/>
      <c r="V17" s="20"/>
      <c r="W17" s="20"/>
      <c r="X17" s="20"/>
      <c r="Y17" s="20">
        <f>Y18+Y19</f>
        <v>1569270.57</v>
      </c>
      <c r="Z17" s="20"/>
      <c r="AA17" s="20"/>
      <c r="AB17" s="20"/>
      <c r="AC17" s="20"/>
      <c r="AD17" s="20">
        <f>AD18+AD19</f>
        <v>1632030.96</v>
      </c>
      <c r="AI17" s="10">
        <f>SUM(AI15:AI16)</f>
        <v>1160570.8799999999</v>
      </c>
      <c r="AJ17" s="10">
        <f>SUM(AJ15:AJ16)</f>
        <v>1205269.25</v>
      </c>
      <c r="AK17" s="10">
        <f>SUM(AK15:AK16)</f>
        <v>1253480</v>
      </c>
    </row>
    <row r="18" spans="1:39" ht="20.25" customHeight="1" x14ac:dyDescent="0.25">
      <c r="A18" s="4"/>
      <c r="B18" s="5" t="s">
        <v>24</v>
      </c>
      <c r="C18" s="2" t="s">
        <v>16</v>
      </c>
      <c r="D18" s="11">
        <v>1</v>
      </c>
      <c r="E18" s="11">
        <v>11</v>
      </c>
      <c r="F18" s="11">
        <v>902</v>
      </c>
      <c r="G18" s="11">
        <v>12020</v>
      </c>
      <c r="H18" s="21">
        <v>121</v>
      </c>
      <c r="I18" s="20">
        <v>1160570.8799999999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1160570.8799999999</v>
      </c>
      <c r="U18" s="20"/>
      <c r="V18" s="20"/>
      <c r="W18" s="20"/>
      <c r="X18" s="20"/>
      <c r="Y18" s="20">
        <v>1205269.25</v>
      </c>
      <c r="Z18" s="20"/>
      <c r="AA18" s="20"/>
      <c r="AB18" s="20"/>
      <c r="AC18" s="20"/>
      <c r="AD18" s="20">
        <v>1253480</v>
      </c>
    </row>
    <row r="19" spans="1:39" ht="38.25" customHeight="1" x14ac:dyDescent="0.25">
      <c r="A19" s="4"/>
      <c r="B19" s="5" t="s">
        <v>25</v>
      </c>
      <c r="C19" s="2" t="s">
        <v>16</v>
      </c>
      <c r="D19" s="11">
        <v>1</v>
      </c>
      <c r="E19" s="11">
        <v>11</v>
      </c>
      <c r="F19" s="11">
        <v>902</v>
      </c>
      <c r="G19" s="11">
        <v>12020</v>
      </c>
      <c r="H19" s="21">
        <v>129</v>
      </c>
      <c r="I19" s="20">
        <v>350492.42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350492.42</v>
      </c>
      <c r="U19" s="20"/>
      <c r="V19" s="20"/>
      <c r="W19" s="20"/>
      <c r="X19" s="20"/>
      <c r="Y19" s="20">
        <v>364001.32</v>
      </c>
      <c r="Z19" s="20"/>
      <c r="AA19" s="20"/>
      <c r="AB19" s="20"/>
      <c r="AC19" s="20"/>
      <c r="AD19" s="20">
        <v>378550.96</v>
      </c>
      <c r="AI19" s="20">
        <v>87400.22</v>
      </c>
      <c r="AJ19" s="20">
        <v>90776.36</v>
      </c>
      <c r="AK19" s="20">
        <v>94397</v>
      </c>
      <c r="AM19" s="46">
        <v>129</v>
      </c>
    </row>
    <row r="20" spans="1:39" ht="33.75" customHeight="1" x14ac:dyDescent="0.25">
      <c r="A20" s="4"/>
      <c r="B20" s="5" t="s">
        <v>26</v>
      </c>
      <c r="C20" s="2" t="s">
        <v>16</v>
      </c>
      <c r="D20" s="11">
        <v>1</v>
      </c>
      <c r="E20" s="11">
        <v>11</v>
      </c>
      <c r="F20" s="11">
        <v>902</v>
      </c>
      <c r="G20" s="11">
        <v>12020</v>
      </c>
      <c r="H20" s="21" t="s">
        <v>27</v>
      </c>
      <c r="I20" s="20">
        <f t="shared" ref="I20:AD21" si="6">I21</f>
        <v>224544.7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f t="shared" si="6"/>
        <v>224544.7</v>
      </c>
      <c r="U20" s="20"/>
      <c r="V20" s="20"/>
      <c r="W20" s="20"/>
      <c r="X20" s="20"/>
      <c r="Y20" s="20">
        <f t="shared" si="6"/>
        <v>166337.43</v>
      </c>
      <c r="Z20" s="20"/>
      <c r="AA20" s="20"/>
      <c r="AB20" s="20"/>
      <c r="AC20" s="20"/>
      <c r="AD20" s="20">
        <f t="shared" si="6"/>
        <v>103577.04</v>
      </c>
      <c r="AI20" s="10">
        <v>263092.2</v>
      </c>
      <c r="AJ20" s="10">
        <v>273224.96000000002</v>
      </c>
      <c r="AK20" s="10">
        <v>284153.96000000002</v>
      </c>
      <c r="AM20" s="46">
        <v>129</v>
      </c>
    </row>
    <row r="21" spans="1:39" ht="37.5" customHeight="1" x14ac:dyDescent="0.25">
      <c r="A21" s="4"/>
      <c r="B21" s="5" t="s">
        <v>28</v>
      </c>
      <c r="C21" s="2" t="s">
        <v>16</v>
      </c>
      <c r="D21" s="11">
        <v>1</v>
      </c>
      <c r="E21" s="11">
        <v>11</v>
      </c>
      <c r="F21" s="11">
        <v>902</v>
      </c>
      <c r="G21" s="11">
        <v>12020</v>
      </c>
      <c r="H21" s="21" t="s">
        <v>29</v>
      </c>
      <c r="I21" s="20">
        <f t="shared" si="6"/>
        <v>224544.7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f t="shared" si="6"/>
        <v>224544.7</v>
      </c>
      <c r="U21" s="20"/>
      <c r="V21" s="20"/>
      <c r="W21" s="20"/>
      <c r="X21" s="20"/>
      <c r="Y21" s="20">
        <f t="shared" si="6"/>
        <v>166337.43</v>
      </c>
      <c r="Z21" s="20"/>
      <c r="AA21" s="20"/>
      <c r="AB21" s="20"/>
      <c r="AC21" s="20"/>
      <c r="AD21" s="20">
        <f t="shared" si="6"/>
        <v>103577.04</v>
      </c>
      <c r="AI21" s="10">
        <f>SUM(AI19:AI20)</f>
        <v>350492.42000000004</v>
      </c>
      <c r="AJ21" s="10">
        <f>SUM(AJ19:AJ20)</f>
        <v>364001.32</v>
      </c>
      <c r="AK21" s="10">
        <f>SUM(AK19:AK20)</f>
        <v>378550.96</v>
      </c>
    </row>
    <row r="22" spans="1:39" ht="38.25" customHeight="1" x14ac:dyDescent="0.25">
      <c r="A22" s="4"/>
      <c r="B22" s="5" t="s">
        <v>30</v>
      </c>
      <c r="C22" s="2" t="s">
        <v>16</v>
      </c>
      <c r="D22" s="11">
        <v>1</v>
      </c>
      <c r="E22" s="11">
        <v>11</v>
      </c>
      <c r="F22" s="11">
        <v>902</v>
      </c>
      <c r="G22" s="11">
        <v>12020</v>
      </c>
      <c r="H22" s="21">
        <v>244</v>
      </c>
      <c r="I22" s="20">
        <v>224544.7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>
        <v>224544.7</v>
      </c>
      <c r="U22" s="20"/>
      <c r="V22" s="20"/>
      <c r="W22" s="20"/>
      <c r="X22" s="20"/>
      <c r="Y22" s="20">
        <v>166337.43</v>
      </c>
      <c r="Z22" s="20"/>
      <c r="AA22" s="20"/>
      <c r="AB22" s="20"/>
      <c r="AC22" s="20"/>
      <c r="AD22" s="20">
        <v>103577.04</v>
      </c>
      <c r="AI22" s="20">
        <v>57247.1</v>
      </c>
      <c r="AJ22" s="20">
        <v>42724.800000000003</v>
      </c>
      <c r="AK22" s="20">
        <v>27082.13</v>
      </c>
      <c r="AM22" s="46">
        <v>244</v>
      </c>
    </row>
    <row r="23" spans="1:39" ht="72.75" customHeight="1" x14ac:dyDescent="0.25">
      <c r="A23" s="4"/>
      <c r="B23" s="6" t="s">
        <v>31</v>
      </c>
      <c r="C23" s="19" t="s">
        <v>16</v>
      </c>
      <c r="D23" s="13">
        <v>1</v>
      </c>
      <c r="E23" s="13">
        <v>11</v>
      </c>
      <c r="F23" s="13">
        <v>902</v>
      </c>
      <c r="G23" s="13">
        <v>12510</v>
      </c>
      <c r="H23" s="14"/>
      <c r="I23" s="15">
        <f t="shared" ref="I23:AD25" si="7">I24</f>
        <v>261851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f t="shared" si="7"/>
        <v>261851</v>
      </c>
      <c r="U23" s="15"/>
      <c r="V23" s="15"/>
      <c r="W23" s="15"/>
      <c r="X23" s="15"/>
      <c r="Y23" s="15">
        <f t="shared" si="7"/>
        <v>261851</v>
      </c>
      <c r="Z23" s="15"/>
      <c r="AA23" s="15"/>
      <c r="AB23" s="15"/>
      <c r="AC23" s="15"/>
      <c r="AD23" s="15">
        <f t="shared" si="7"/>
        <v>261851</v>
      </c>
      <c r="AI23" s="10">
        <v>167297.60000000001</v>
      </c>
      <c r="AJ23" s="10">
        <v>123612.63</v>
      </c>
      <c r="AK23" s="10">
        <v>76494.91</v>
      </c>
      <c r="AM23" s="46">
        <v>244</v>
      </c>
    </row>
    <row r="24" spans="1:39" ht="37.5" customHeight="1" x14ac:dyDescent="0.25">
      <c r="A24" s="4"/>
      <c r="B24" s="5" t="s">
        <v>26</v>
      </c>
      <c r="C24" s="2" t="s">
        <v>16</v>
      </c>
      <c r="D24" s="11">
        <v>1</v>
      </c>
      <c r="E24" s="11">
        <v>11</v>
      </c>
      <c r="F24" s="11">
        <v>902</v>
      </c>
      <c r="G24" s="11">
        <v>12510</v>
      </c>
      <c r="H24" s="21">
        <v>200</v>
      </c>
      <c r="I24" s="20">
        <f t="shared" si="7"/>
        <v>261851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>
        <f t="shared" si="7"/>
        <v>261851</v>
      </c>
      <c r="U24" s="20"/>
      <c r="V24" s="20"/>
      <c r="W24" s="20"/>
      <c r="X24" s="20"/>
      <c r="Y24" s="20">
        <f t="shared" si="7"/>
        <v>261851</v>
      </c>
      <c r="Z24" s="20"/>
      <c r="AA24" s="20"/>
      <c r="AB24" s="20"/>
      <c r="AC24" s="20"/>
      <c r="AD24" s="20">
        <f t="shared" si="7"/>
        <v>261851</v>
      </c>
      <c r="AI24" s="10">
        <f>SUM(AI22:AI23)</f>
        <v>224544.7</v>
      </c>
      <c r="AJ24" s="10">
        <f>SUM(AJ22:AJ23)</f>
        <v>166337.43</v>
      </c>
      <c r="AK24" s="10">
        <f>SUM(AK22:AK23)</f>
        <v>103577.04000000001</v>
      </c>
      <c r="AL24" s="10">
        <f>SUM(AL22:AL23)</f>
        <v>0</v>
      </c>
    </row>
    <row r="25" spans="1:39" ht="30.75" customHeight="1" x14ac:dyDescent="0.25">
      <c r="A25" s="4"/>
      <c r="B25" s="5" t="s">
        <v>28</v>
      </c>
      <c r="C25" s="2" t="s">
        <v>16</v>
      </c>
      <c r="D25" s="11">
        <v>1</v>
      </c>
      <c r="E25" s="11">
        <v>11</v>
      </c>
      <c r="F25" s="11">
        <v>902</v>
      </c>
      <c r="G25" s="11">
        <v>12510</v>
      </c>
      <c r="H25" s="21">
        <v>240</v>
      </c>
      <c r="I25" s="20">
        <f t="shared" si="7"/>
        <v>261851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f t="shared" si="7"/>
        <v>261851</v>
      </c>
      <c r="U25" s="20"/>
      <c r="V25" s="20"/>
      <c r="W25" s="20"/>
      <c r="X25" s="20"/>
      <c r="Y25" s="20">
        <f t="shared" si="7"/>
        <v>261851</v>
      </c>
      <c r="Z25" s="20"/>
      <c r="AA25" s="20"/>
      <c r="AB25" s="20"/>
      <c r="AC25" s="20"/>
      <c r="AD25" s="20">
        <f t="shared" si="7"/>
        <v>261851</v>
      </c>
    </row>
    <row r="26" spans="1:39" ht="34.5" customHeight="1" x14ac:dyDescent="0.25">
      <c r="A26" s="4"/>
      <c r="B26" s="5" t="s">
        <v>30</v>
      </c>
      <c r="C26" s="2" t="s">
        <v>16</v>
      </c>
      <c r="D26" s="11">
        <v>1</v>
      </c>
      <c r="E26" s="11">
        <v>11</v>
      </c>
      <c r="F26" s="11">
        <v>902</v>
      </c>
      <c r="G26" s="11">
        <v>12510</v>
      </c>
      <c r="H26" s="21">
        <v>244</v>
      </c>
      <c r="I26" s="20">
        <v>261851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261851</v>
      </c>
      <c r="U26" s="20"/>
      <c r="V26" s="20"/>
      <c r="W26" s="20"/>
      <c r="X26" s="20"/>
      <c r="Y26" s="20">
        <v>261851</v>
      </c>
      <c r="Z26" s="20"/>
      <c r="AA26" s="20"/>
      <c r="AB26" s="20"/>
      <c r="AC26" s="20"/>
      <c r="AD26" s="20">
        <v>261851</v>
      </c>
    </row>
    <row r="27" spans="1:39" ht="57" customHeight="1" x14ac:dyDescent="0.25">
      <c r="A27" s="4"/>
      <c r="B27" s="4" t="s">
        <v>32</v>
      </c>
      <c r="C27" s="19" t="s">
        <v>16</v>
      </c>
      <c r="D27" s="13">
        <v>1</v>
      </c>
      <c r="E27" s="13">
        <v>11</v>
      </c>
      <c r="F27" s="13">
        <v>902</v>
      </c>
      <c r="G27" s="13">
        <v>14210</v>
      </c>
      <c r="H27" s="18" t="s">
        <v>33</v>
      </c>
      <c r="I27" s="15">
        <f t="shared" ref="I27:AD29" si="8">I28</f>
        <v>3600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5">
        <f t="shared" si="8"/>
        <v>3600</v>
      </c>
      <c r="U27" s="15"/>
      <c r="V27" s="15"/>
      <c r="W27" s="15"/>
      <c r="X27" s="15"/>
      <c r="Y27" s="15">
        <f t="shared" si="8"/>
        <v>3600</v>
      </c>
      <c r="Z27" s="15"/>
      <c r="AA27" s="15"/>
      <c r="AB27" s="15"/>
      <c r="AC27" s="15"/>
      <c r="AD27" s="15">
        <f t="shared" si="8"/>
        <v>3600</v>
      </c>
    </row>
    <row r="28" spans="1:39" ht="22.5" x14ac:dyDescent="0.25">
      <c r="A28" s="4"/>
      <c r="B28" s="5" t="s">
        <v>34</v>
      </c>
      <c r="C28" s="2" t="s">
        <v>16</v>
      </c>
      <c r="D28" s="11">
        <v>1</v>
      </c>
      <c r="E28" s="11">
        <v>11</v>
      </c>
      <c r="F28" s="11">
        <v>902</v>
      </c>
      <c r="G28" s="11">
        <v>14210</v>
      </c>
      <c r="H28" s="21" t="s">
        <v>35</v>
      </c>
      <c r="I28" s="20">
        <f t="shared" si="8"/>
        <v>3600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f t="shared" si="8"/>
        <v>3600</v>
      </c>
      <c r="U28" s="20"/>
      <c r="V28" s="20"/>
      <c r="W28" s="20"/>
      <c r="X28" s="20"/>
      <c r="Y28" s="20">
        <f t="shared" si="8"/>
        <v>3600</v>
      </c>
      <c r="Z28" s="20"/>
      <c r="AA28" s="20"/>
      <c r="AB28" s="20"/>
      <c r="AC28" s="20"/>
      <c r="AD28" s="20">
        <f t="shared" si="8"/>
        <v>3600</v>
      </c>
    </row>
    <row r="29" spans="1:39" x14ac:dyDescent="0.25">
      <c r="A29" s="4"/>
      <c r="B29" s="5" t="s">
        <v>36</v>
      </c>
      <c r="C29" s="2" t="s">
        <v>16</v>
      </c>
      <c r="D29" s="11">
        <v>1</v>
      </c>
      <c r="E29" s="11">
        <v>11</v>
      </c>
      <c r="F29" s="11">
        <v>902</v>
      </c>
      <c r="G29" s="11">
        <v>14210</v>
      </c>
      <c r="H29" s="21">
        <v>610</v>
      </c>
      <c r="I29" s="20">
        <f t="shared" si="8"/>
        <v>3600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>
        <f t="shared" si="8"/>
        <v>3600</v>
      </c>
      <c r="U29" s="20"/>
      <c r="V29" s="20"/>
      <c r="W29" s="20"/>
      <c r="X29" s="20"/>
      <c r="Y29" s="20">
        <f t="shared" si="8"/>
        <v>3600</v>
      </c>
      <c r="Z29" s="20"/>
      <c r="AA29" s="20"/>
      <c r="AB29" s="20"/>
      <c r="AC29" s="20"/>
      <c r="AD29" s="20">
        <f t="shared" si="8"/>
        <v>3600</v>
      </c>
    </row>
    <row r="30" spans="1:39" ht="45" x14ac:dyDescent="0.25">
      <c r="A30" s="4"/>
      <c r="B30" s="5" t="s">
        <v>37</v>
      </c>
      <c r="C30" s="2" t="s">
        <v>16</v>
      </c>
      <c r="D30" s="11">
        <v>1</v>
      </c>
      <c r="E30" s="11">
        <v>11</v>
      </c>
      <c r="F30" s="11">
        <v>902</v>
      </c>
      <c r="G30" s="11">
        <v>14210</v>
      </c>
      <c r="H30" s="21" t="s">
        <v>38</v>
      </c>
      <c r="I30" s="20">
        <v>3600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>
        <v>3600</v>
      </c>
      <c r="U30" s="20"/>
      <c r="V30" s="20"/>
      <c r="W30" s="20"/>
      <c r="X30" s="20"/>
      <c r="Y30" s="20">
        <v>3600</v>
      </c>
      <c r="Z30" s="20"/>
      <c r="AA30" s="20"/>
      <c r="AB30" s="20"/>
      <c r="AC30" s="20"/>
      <c r="AD30" s="20">
        <v>3600</v>
      </c>
    </row>
    <row r="31" spans="1:39" ht="31.5" customHeight="1" x14ac:dyDescent="0.25">
      <c r="A31" s="4"/>
      <c r="B31" s="4" t="s">
        <v>39</v>
      </c>
      <c r="C31" s="19" t="s">
        <v>16</v>
      </c>
      <c r="D31" s="13">
        <v>1</v>
      </c>
      <c r="E31" s="13">
        <v>11</v>
      </c>
      <c r="F31" s="13">
        <v>902</v>
      </c>
      <c r="G31" s="13">
        <v>16710</v>
      </c>
      <c r="H31" s="18" t="s">
        <v>33</v>
      </c>
      <c r="I31" s="15">
        <f t="shared" ref="I31:AH33" si="9">I32</f>
        <v>111000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5">
        <f t="shared" si="9"/>
        <v>129800</v>
      </c>
      <c r="U31" s="15"/>
      <c r="V31" s="15"/>
      <c r="W31" s="15"/>
      <c r="X31" s="15"/>
      <c r="Y31" s="15">
        <f t="shared" si="9"/>
        <v>111000</v>
      </c>
      <c r="Z31" s="15"/>
      <c r="AA31" s="15"/>
      <c r="AB31" s="15"/>
      <c r="AC31" s="15"/>
      <c r="AD31" s="15">
        <f t="shared" si="9"/>
        <v>111000</v>
      </c>
    </row>
    <row r="32" spans="1:39" x14ac:dyDescent="0.25">
      <c r="A32" s="4"/>
      <c r="B32" s="5" t="s">
        <v>40</v>
      </c>
      <c r="C32" s="2" t="s">
        <v>16</v>
      </c>
      <c r="D32" s="11">
        <v>1</v>
      </c>
      <c r="E32" s="11">
        <v>11</v>
      </c>
      <c r="F32" s="11">
        <v>902</v>
      </c>
      <c r="G32" s="11">
        <v>16710</v>
      </c>
      <c r="H32" s="21">
        <v>300</v>
      </c>
      <c r="I32" s="20">
        <f t="shared" si="9"/>
        <v>111000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f t="shared" si="9"/>
        <v>129800</v>
      </c>
      <c r="U32" s="20"/>
      <c r="V32" s="20"/>
      <c r="W32" s="20"/>
      <c r="X32" s="20"/>
      <c r="Y32" s="20">
        <f t="shared" si="9"/>
        <v>111000</v>
      </c>
      <c r="Z32" s="20"/>
      <c r="AA32" s="20"/>
      <c r="AB32" s="20"/>
      <c r="AC32" s="20"/>
      <c r="AD32" s="20">
        <f t="shared" si="9"/>
        <v>111000</v>
      </c>
    </row>
    <row r="33" spans="1:34" ht="22.5" x14ac:dyDescent="0.25">
      <c r="A33" s="4"/>
      <c r="B33" s="5" t="s">
        <v>41</v>
      </c>
      <c r="C33" s="2" t="s">
        <v>16</v>
      </c>
      <c r="D33" s="11">
        <v>1</v>
      </c>
      <c r="E33" s="11">
        <v>11</v>
      </c>
      <c r="F33" s="11">
        <v>902</v>
      </c>
      <c r="G33" s="11">
        <v>16710</v>
      </c>
      <c r="H33" s="21">
        <v>320</v>
      </c>
      <c r="I33" s="20">
        <f>I34</f>
        <v>111000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f>T34</f>
        <v>129800</v>
      </c>
      <c r="U33" s="20"/>
      <c r="V33" s="20"/>
      <c r="W33" s="20"/>
      <c r="X33" s="20"/>
      <c r="Y33" s="20">
        <f t="shared" si="9"/>
        <v>111000</v>
      </c>
      <c r="Z33" s="20"/>
      <c r="AA33" s="20"/>
      <c r="AB33" s="20"/>
      <c r="AC33" s="20"/>
      <c r="AD33" s="20">
        <f t="shared" si="9"/>
        <v>111000</v>
      </c>
      <c r="AE33" s="20">
        <f t="shared" si="9"/>
        <v>0</v>
      </c>
      <c r="AF33" s="20">
        <f t="shared" si="9"/>
        <v>0</v>
      </c>
      <c r="AG33" s="20">
        <f t="shared" si="9"/>
        <v>0</v>
      </c>
      <c r="AH33" s="20">
        <f t="shared" si="9"/>
        <v>0</v>
      </c>
    </row>
    <row r="34" spans="1:34" ht="27" customHeight="1" x14ac:dyDescent="0.25">
      <c r="A34" s="4"/>
      <c r="B34" s="5" t="s">
        <v>42</v>
      </c>
      <c r="C34" s="2" t="s">
        <v>16</v>
      </c>
      <c r="D34" s="11">
        <v>1</v>
      </c>
      <c r="E34" s="11">
        <v>11</v>
      </c>
      <c r="F34" s="11">
        <v>902</v>
      </c>
      <c r="G34" s="11">
        <v>16710</v>
      </c>
      <c r="H34" s="21">
        <v>321</v>
      </c>
      <c r="I34" s="20">
        <v>111000</v>
      </c>
      <c r="J34" s="20"/>
      <c r="K34" s="20"/>
      <c r="L34" s="20"/>
      <c r="M34" s="20"/>
      <c r="N34" s="20"/>
      <c r="O34" s="20"/>
      <c r="P34" s="20"/>
      <c r="Q34" s="20"/>
      <c r="R34" s="20"/>
      <c r="S34" s="20">
        <v>18800</v>
      </c>
      <c r="T34" s="20">
        <f>111000+S34</f>
        <v>129800</v>
      </c>
      <c r="U34" s="20"/>
      <c r="V34" s="20"/>
      <c r="W34" s="20"/>
      <c r="X34" s="20"/>
      <c r="Y34" s="20">
        <v>111000</v>
      </c>
      <c r="Z34" s="20"/>
      <c r="AA34" s="20"/>
      <c r="AB34" s="20"/>
      <c r="AC34" s="20"/>
      <c r="AD34" s="20">
        <v>111000</v>
      </c>
    </row>
    <row r="35" spans="1:34" ht="94.5" customHeight="1" x14ac:dyDescent="0.25">
      <c r="A35" s="4"/>
      <c r="B35" s="52" t="s">
        <v>43</v>
      </c>
      <c r="C35" s="19" t="s">
        <v>16</v>
      </c>
      <c r="D35" s="13">
        <v>1</v>
      </c>
      <c r="E35" s="13">
        <v>11</v>
      </c>
      <c r="F35" s="13">
        <v>902</v>
      </c>
      <c r="G35" s="13">
        <v>16721</v>
      </c>
      <c r="H35" s="18"/>
      <c r="I35" s="15">
        <f>I36+I41</f>
        <v>2169260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5">
        <f>T36+T41</f>
        <v>2169260</v>
      </c>
      <c r="U35" s="15"/>
      <c r="V35" s="15"/>
      <c r="W35" s="15"/>
      <c r="X35" s="15"/>
      <c r="Y35" s="15">
        <f>Y36+Y41</f>
        <v>2169260</v>
      </c>
      <c r="Z35" s="15"/>
      <c r="AA35" s="15"/>
      <c r="AB35" s="15"/>
      <c r="AC35" s="15"/>
      <c r="AD35" s="15">
        <f>AD36+AD41</f>
        <v>2169260</v>
      </c>
    </row>
    <row r="36" spans="1:34" ht="57" customHeight="1" x14ac:dyDescent="0.25">
      <c r="A36" s="4"/>
      <c r="B36" s="5" t="s">
        <v>22</v>
      </c>
      <c r="C36" s="2" t="s">
        <v>16</v>
      </c>
      <c r="D36" s="11">
        <v>1</v>
      </c>
      <c r="E36" s="11">
        <v>11</v>
      </c>
      <c r="F36" s="11">
        <v>902</v>
      </c>
      <c r="G36" s="11">
        <v>16721</v>
      </c>
      <c r="H36" s="21">
        <v>100</v>
      </c>
      <c r="I36" s="20">
        <f>I37</f>
        <v>1861791.8699999999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>
        <f>T37</f>
        <v>1861791.8699999999</v>
      </c>
      <c r="U36" s="20"/>
      <c r="V36" s="20"/>
      <c r="W36" s="20"/>
      <c r="X36" s="20"/>
      <c r="Y36" s="20">
        <f>Y37</f>
        <v>1933497.1500000001</v>
      </c>
      <c r="Z36" s="20"/>
      <c r="AA36" s="20"/>
      <c r="AB36" s="20"/>
      <c r="AC36" s="20"/>
      <c r="AD36" s="20">
        <f>AD37</f>
        <v>2010837.02</v>
      </c>
    </row>
    <row r="37" spans="1:34" ht="22.5" x14ac:dyDescent="0.25">
      <c r="A37" s="4"/>
      <c r="B37" s="5" t="s">
        <v>23</v>
      </c>
      <c r="C37" s="2" t="s">
        <v>16</v>
      </c>
      <c r="D37" s="11">
        <v>1</v>
      </c>
      <c r="E37" s="11">
        <v>11</v>
      </c>
      <c r="F37" s="11">
        <v>902</v>
      </c>
      <c r="G37" s="11">
        <v>16721</v>
      </c>
      <c r="H37" s="21">
        <v>120</v>
      </c>
      <c r="I37" s="20">
        <f>I38+I40+I39</f>
        <v>1861791.8699999999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>
        <f>T38+T40+T39</f>
        <v>1861791.8699999999</v>
      </c>
      <c r="U37" s="20"/>
      <c r="V37" s="20"/>
      <c r="W37" s="20"/>
      <c r="X37" s="20"/>
      <c r="Y37" s="20">
        <f>Y38+Y40+Y39</f>
        <v>1933497.1500000001</v>
      </c>
      <c r="Z37" s="20"/>
      <c r="AA37" s="20"/>
      <c r="AB37" s="20"/>
      <c r="AC37" s="20"/>
      <c r="AD37" s="20">
        <f>AD38+AD40+AD39</f>
        <v>2010837.02</v>
      </c>
    </row>
    <row r="38" spans="1:34" ht="22.5" x14ac:dyDescent="0.25">
      <c r="A38" s="4"/>
      <c r="B38" s="5" t="s">
        <v>44</v>
      </c>
      <c r="C38" s="2" t="s">
        <v>16</v>
      </c>
      <c r="D38" s="11">
        <v>1</v>
      </c>
      <c r="E38" s="11">
        <v>11</v>
      </c>
      <c r="F38" s="11">
        <v>902</v>
      </c>
      <c r="G38" s="11">
        <v>16721</v>
      </c>
      <c r="H38" s="21">
        <v>121</v>
      </c>
      <c r="I38" s="20">
        <v>1429947.67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>
        <v>1429947.67</v>
      </c>
      <c r="U38" s="20"/>
      <c r="V38" s="20"/>
      <c r="W38" s="20"/>
      <c r="X38" s="20"/>
      <c r="Y38" s="20">
        <v>1485020.85</v>
      </c>
      <c r="Z38" s="20"/>
      <c r="AA38" s="20"/>
      <c r="AB38" s="20"/>
      <c r="AC38" s="20"/>
      <c r="AD38" s="20">
        <v>1544421.67</v>
      </c>
    </row>
    <row r="39" spans="1:34" ht="45" hidden="1" x14ac:dyDescent="0.25">
      <c r="A39" s="4"/>
      <c r="B39" s="5" t="s">
        <v>45</v>
      </c>
      <c r="C39" s="2" t="s">
        <v>16</v>
      </c>
      <c r="D39" s="11">
        <v>1</v>
      </c>
      <c r="E39" s="11">
        <v>11</v>
      </c>
      <c r="F39" s="11">
        <v>902</v>
      </c>
      <c r="G39" s="11">
        <v>16721</v>
      </c>
      <c r="H39" s="21">
        <v>122</v>
      </c>
      <c r="I39" s="20">
        <v>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>
        <v>0</v>
      </c>
      <c r="U39" s="20"/>
      <c r="V39" s="20"/>
      <c r="W39" s="20"/>
      <c r="X39" s="20"/>
      <c r="Y39" s="20">
        <v>0</v>
      </c>
      <c r="Z39" s="20"/>
      <c r="AA39" s="20"/>
      <c r="AB39" s="20"/>
      <c r="AC39" s="20"/>
      <c r="AD39" s="20">
        <v>0</v>
      </c>
    </row>
    <row r="40" spans="1:34" ht="39.75" customHeight="1" x14ac:dyDescent="0.25">
      <c r="A40" s="4"/>
      <c r="B40" s="5" t="s">
        <v>25</v>
      </c>
      <c r="C40" s="2" t="s">
        <v>16</v>
      </c>
      <c r="D40" s="11">
        <v>1</v>
      </c>
      <c r="E40" s="11">
        <v>11</v>
      </c>
      <c r="F40" s="11">
        <v>902</v>
      </c>
      <c r="G40" s="11">
        <v>16721</v>
      </c>
      <c r="H40" s="21">
        <v>129</v>
      </c>
      <c r="I40" s="20">
        <v>431844.2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>
        <v>431844.2</v>
      </c>
      <c r="U40" s="20"/>
      <c r="V40" s="20"/>
      <c r="W40" s="20"/>
      <c r="X40" s="20"/>
      <c r="Y40" s="20">
        <v>448476.3</v>
      </c>
      <c r="Z40" s="20"/>
      <c r="AA40" s="20"/>
      <c r="AB40" s="20"/>
      <c r="AC40" s="20"/>
      <c r="AD40" s="20">
        <v>466415.35</v>
      </c>
    </row>
    <row r="41" spans="1:34" ht="22.5" x14ac:dyDescent="0.25">
      <c r="A41" s="4"/>
      <c r="B41" s="5" t="s">
        <v>26</v>
      </c>
      <c r="C41" s="2" t="s">
        <v>16</v>
      </c>
      <c r="D41" s="11">
        <v>1</v>
      </c>
      <c r="E41" s="11">
        <v>11</v>
      </c>
      <c r="F41" s="11">
        <v>902</v>
      </c>
      <c r="G41" s="11">
        <v>16721</v>
      </c>
      <c r="H41" s="21">
        <v>200</v>
      </c>
      <c r="I41" s="20">
        <f t="shared" ref="I41:AD42" si="10">I42</f>
        <v>307468.13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>
        <f t="shared" si="10"/>
        <v>307468.13</v>
      </c>
      <c r="U41" s="20"/>
      <c r="V41" s="20"/>
      <c r="W41" s="20"/>
      <c r="X41" s="20"/>
      <c r="Y41" s="20">
        <f t="shared" si="10"/>
        <v>235762.85</v>
      </c>
      <c r="Z41" s="20"/>
      <c r="AA41" s="20"/>
      <c r="AB41" s="20"/>
      <c r="AC41" s="20"/>
      <c r="AD41" s="20">
        <f t="shared" si="10"/>
        <v>158422.98000000001</v>
      </c>
    </row>
    <row r="42" spans="1:34" ht="20.25" customHeight="1" x14ac:dyDescent="0.25">
      <c r="A42" s="4"/>
      <c r="B42" s="5" t="s">
        <v>28</v>
      </c>
      <c r="C42" s="2" t="s">
        <v>16</v>
      </c>
      <c r="D42" s="11">
        <v>1</v>
      </c>
      <c r="E42" s="11">
        <v>11</v>
      </c>
      <c r="F42" s="11">
        <v>902</v>
      </c>
      <c r="G42" s="11">
        <v>16721</v>
      </c>
      <c r="H42" s="21">
        <v>240</v>
      </c>
      <c r="I42" s="20">
        <f t="shared" si="10"/>
        <v>307468.13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f t="shared" si="10"/>
        <v>307468.13</v>
      </c>
      <c r="U42" s="20"/>
      <c r="V42" s="20"/>
      <c r="W42" s="20"/>
      <c r="X42" s="20"/>
      <c r="Y42" s="20">
        <f t="shared" si="10"/>
        <v>235762.85</v>
      </c>
      <c r="Z42" s="20"/>
      <c r="AA42" s="20"/>
      <c r="AB42" s="20"/>
      <c r="AC42" s="20"/>
      <c r="AD42" s="20">
        <f t="shared" si="10"/>
        <v>158422.98000000001</v>
      </c>
    </row>
    <row r="43" spans="1:34" ht="22.5" x14ac:dyDescent="0.25">
      <c r="A43" s="4"/>
      <c r="B43" s="5" t="s">
        <v>30</v>
      </c>
      <c r="C43" s="2" t="s">
        <v>16</v>
      </c>
      <c r="D43" s="11">
        <v>1</v>
      </c>
      <c r="E43" s="11">
        <v>11</v>
      </c>
      <c r="F43" s="11">
        <v>902</v>
      </c>
      <c r="G43" s="11">
        <v>16721</v>
      </c>
      <c r="H43" s="21">
        <v>244</v>
      </c>
      <c r="I43" s="20">
        <v>307468.13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>
        <v>307468.13</v>
      </c>
      <c r="U43" s="20"/>
      <c r="V43" s="20"/>
      <c r="W43" s="20"/>
      <c r="X43" s="20"/>
      <c r="Y43" s="20">
        <v>235762.85</v>
      </c>
      <c r="Z43" s="20"/>
      <c r="AA43" s="20"/>
      <c r="AB43" s="20"/>
      <c r="AC43" s="20"/>
      <c r="AD43" s="20">
        <v>158422.98000000001</v>
      </c>
    </row>
    <row r="44" spans="1:34" ht="97.5" customHeight="1" x14ac:dyDescent="0.25">
      <c r="A44" s="4"/>
      <c r="B44" s="52" t="s">
        <v>46</v>
      </c>
      <c r="C44" s="19" t="s">
        <v>16</v>
      </c>
      <c r="D44" s="13">
        <v>1</v>
      </c>
      <c r="E44" s="13">
        <v>11</v>
      </c>
      <c r="F44" s="13">
        <v>902</v>
      </c>
      <c r="G44" s="13">
        <v>16722</v>
      </c>
      <c r="H44" s="14"/>
      <c r="I44" s="15">
        <f t="shared" ref="I44:AD46" si="11">I45</f>
        <v>21000</v>
      </c>
      <c r="J44" s="15"/>
      <c r="K44" s="15"/>
      <c r="L44" s="15"/>
      <c r="M44" s="15"/>
      <c r="N44" s="15"/>
      <c r="O44" s="15"/>
      <c r="P44" s="15"/>
      <c r="Q44" s="15"/>
      <c r="R44" s="15">
        <f t="shared" si="11"/>
        <v>21000</v>
      </c>
      <c r="S44" s="15"/>
      <c r="T44" s="15">
        <f t="shared" si="11"/>
        <v>42000</v>
      </c>
      <c r="U44" s="15"/>
      <c r="V44" s="15"/>
      <c r="W44" s="15"/>
      <c r="X44" s="15"/>
      <c r="Y44" s="15">
        <f t="shared" si="11"/>
        <v>21000</v>
      </c>
      <c r="Z44" s="15"/>
      <c r="AA44" s="15"/>
      <c r="AB44" s="15"/>
      <c r="AC44" s="15"/>
      <c r="AD44" s="15">
        <f t="shared" si="11"/>
        <v>21000</v>
      </c>
    </row>
    <row r="45" spans="1:34" ht="39" customHeight="1" x14ac:dyDescent="0.25">
      <c r="A45" s="4"/>
      <c r="B45" s="5" t="s">
        <v>26</v>
      </c>
      <c r="C45" s="2" t="s">
        <v>16</v>
      </c>
      <c r="D45" s="11">
        <v>1</v>
      </c>
      <c r="E45" s="11">
        <v>11</v>
      </c>
      <c r="F45" s="11">
        <v>902</v>
      </c>
      <c r="G45" s="11">
        <v>16722</v>
      </c>
      <c r="H45" s="21">
        <v>200</v>
      </c>
      <c r="I45" s="20">
        <f t="shared" si="11"/>
        <v>21000</v>
      </c>
      <c r="J45" s="20"/>
      <c r="K45" s="20"/>
      <c r="L45" s="20"/>
      <c r="M45" s="20"/>
      <c r="N45" s="20"/>
      <c r="O45" s="20"/>
      <c r="P45" s="20"/>
      <c r="Q45" s="20"/>
      <c r="R45" s="20">
        <f t="shared" si="11"/>
        <v>21000</v>
      </c>
      <c r="S45" s="20"/>
      <c r="T45" s="20">
        <f t="shared" si="11"/>
        <v>42000</v>
      </c>
      <c r="U45" s="20"/>
      <c r="V45" s="20"/>
      <c r="W45" s="20"/>
      <c r="X45" s="20"/>
      <c r="Y45" s="20">
        <f t="shared" si="11"/>
        <v>21000</v>
      </c>
      <c r="Z45" s="20"/>
      <c r="AA45" s="20"/>
      <c r="AB45" s="20"/>
      <c r="AC45" s="20"/>
      <c r="AD45" s="20">
        <f t="shared" si="11"/>
        <v>21000</v>
      </c>
    </row>
    <row r="46" spans="1:34" ht="22.5" x14ac:dyDescent="0.25">
      <c r="A46" s="4"/>
      <c r="B46" s="5" t="s">
        <v>28</v>
      </c>
      <c r="C46" s="2" t="s">
        <v>16</v>
      </c>
      <c r="D46" s="11">
        <v>1</v>
      </c>
      <c r="E46" s="11">
        <v>11</v>
      </c>
      <c r="F46" s="11">
        <v>902</v>
      </c>
      <c r="G46" s="11">
        <v>16722</v>
      </c>
      <c r="H46" s="21">
        <v>240</v>
      </c>
      <c r="I46" s="20">
        <f t="shared" si="11"/>
        <v>21000</v>
      </c>
      <c r="J46" s="20"/>
      <c r="K46" s="20"/>
      <c r="L46" s="20"/>
      <c r="M46" s="20"/>
      <c r="N46" s="20"/>
      <c r="O46" s="20"/>
      <c r="P46" s="20"/>
      <c r="Q46" s="20"/>
      <c r="R46" s="20">
        <f t="shared" si="11"/>
        <v>21000</v>
      </c>
      <c r="S46" s="20"/>
      <c r="T46" s="20">
        <f t="shared" si="11"/>
        <v>42000</v>
      </c>
      <c r="U46" s="20"/>
      <c r="V46" s="20"/>
      <c r="W46" s="20"/>
      <c r="X46" s="20"/>
      <c r="Y46" s="20">
        <f t="shared" si="11"/>
        <v>21000</v>
      </c>
      <c r="Z46" s="20"/>
      <c r="AA46" s="20"/>
      <c r="AB46" s="20"/>
      <c r="AC46" s="20"/>
      <c r="AD46" s="20">
        <f t="shared" si="11"/>
        <v>21000</v>
      </c>
    </row>
    <row r="47" spans="1:34" ht="22.5" x14ac:dyDescent="0.25">
      <c r="A47" s="4"/>
      <c r="B47" s="5" t="s">
        <v>30</v>
      </c>
      <c r="C47" s="2" t="s">
        <v>16</v>
      </c>
      <c r="D47" s="11">
        <v>1</v>
      </c>
      <c r="E47" s="11">
        <v>11</v>
      </c>
      <c r="F47" s="11">
        <v>902</v>
      </c>
      <c r="G47" s="11">
        <v>16722</v>
      </c>
      <c r="H47" s="21">
        <v>244</v>
      </c>
      <c r="I47" s="20">
        <v>21000</v>
      </c>
      <c r="J47" s="20"/>
      <c r="K47" s="20"/>
      <c r="L47" s="20"/>
      <c r="M47" s="20"/>
      <c r="N47" s="20"/>
      <c r="O47" s="20"/>
      <c r="P47" s="20"/>
      <c r="Q47" s="20">
        <v>21000</v>
      </c>
      <c r="R47" s="20">
        <v>21000</v>
      </c>
      <c r="S47" s="20"/>
      <c r="T47" s="20">
        <f>21000+R47</f>
        <v>42000</v>
      </c>
      <c r="U47" s="20"/>
      <c r="V47" s="20"/>
      <c r="W47" s="20"/>
      <c r="X47" s="20"/>
      <c r="Y47" s="20">
        <v>21000</v>
      </c>
      <c r="Z47" s="20"/>
      <c r="AA47" s="20"/>
      <c r="AB47" s="20"/>
      <c r="AC47" s="20"/>
      <c r="AD47" s="20">
        <v>21000</v>
      </c>
    </row>
    <row r="48" spans="1:34" ht="96" customHeight="1" x14ac:dyDescent="0.25">
      <c r="A48" s="4"/>
      <c r="B48" s="52" t="s">
        <v>47</v>
      </c>
      <c r="C48" s="19" t="s">
        <v>16</v>
      </c>
      <c r="D48" s="13">
        <v>1</v>
      </c>
      <c r="E48" s="13">
        <v>11</v>
      </c>
      <c r="F48" s="13">
        <v>902</v>
      </c>
      <c r="G48" s="13">
        <v>16723</v>
      </c>
      <c r="H48" s="21"/>
      <c r="I48" s="15">
        <f>I49</f>
        <v>23409940</v>
      </c>
      <c r="J48" s="20"/>
      <c r="K48" s="20"/>
      <c r="L48" s="20"/>
      <c r="M48" s="20"/>
      <c r="N48" s="20"/>
      <c r="O48" s="20"/>
      <c r="P48" s="20"/>
      <c r="Q48" s="20"/>
      <c r="R48" s="15">
        <f>R49</f>
        <v>-21000</v>
      </c>
      <c r="S48" s="15"/>
      <c r="T48" s="15">
        <f>T49</f>
        <v>23388940</v>
      </c>
      <c r="U48" s="15"/>
      <c r="V48" s="15"/>
      <c r="W48" s="15"/>
      <c r="X48" s="15"/>
      <c r="Y48" s="15">
        <f>Y49</f>
        <v>24501640</v>
      </c>
      <c r="Z48" s="15"/>
      <c r="AA48" s="15"/>
      <c r="AB48" s="15"/>
      <c r="AC48" s="15"/>
      <c r="AD48" s="15">
        <f>AD49</f>
        <v>25656440</v>
      </c>
    </row>
    <row r="49" spans="1:30" x14ac:dyDescent="0.25">
      <c r="A49" s="4"/>
      <c r="B49" s="5" t="s">
        <v>40</v>
      </c>
      <c r="C49" s="2" t="s">
        <v>16</v>
      </c>
      <c r="D49" s="11">
        <v>1</v>
      </c>
      <c r="E49" s="11">
        <v>11</v>
      </c>
      <c r="F49" s="11">
        <v>902</v>
      </c>
      <c r="G49" s="11">
        <v>16723</v>
      </c>
      <c r="H49" s="21">
        <v>300</v>
      </c>
      <c r="I49" s="20">
        <f>I50+I52</f>
        <v>23409940</v>
      </c>
      <c r="J49" s="20"/>
      <c r="K49" s="20"/>
      <c r="L49" s="20"/>
      <c r="M49" s="20"/>
      <c r="N49" s="20"/>
      <c r="O49" s="20"/>
      <c r="P49" s="20"/>
      <c r="Q49" s="20"/>
      <c r="R49" s="20">
        <f>R50+R52</f>
        <v>-21000</v>
      </c>
      <c r="S49" s="20"/>
      <c r="T49" s="20">
        <f>T50+T52</f>
        <v>23388940</v>
      </c>
      <c r="U49" s="20"/>
      <c r="V49" s="20"/>
      <c r="W49" s="20"/>
      <c r="X49" s="20"/>
      <c r="Y49" s="20">
        <f>Y50+Y52</f>
        <v>24501640</v>
      </c>
      <c r="Z49" s="20"/>
      <c r="AA49" s="20"/>
      <c r="AB49" s="20"/>
      <c r="AC49" s="20"/>
      <c r="AD49" s="20">
        <f>AD50+AD52</f>
        <v>25656440</v>
      </c>
    </row>
    <row r="50" spans="1:30" x14ac:dyDescent="0.25">
      <c r="A50" s="4"/>
      <c r="B50" s="5" t="s">
        <v>48</v>
      </c>
      <c r="C50" s="2" t="s">
        <v>16</v>
      </c>
      <c r="D50" s="11">
        <v>1</v>
      </c>
      <c r="E50" s="11">
        <v>11</v>
      </c>
      <c r="F50" s="11">
        <v>902</v>
      </c>
      <c r="G50" s="11">
        <v>16723</v>
      </c>
      <c r="H50" s="21">
        <v>310</v>
      </c>
      <c r="I50" s="20">
        <f>I51</f>
        <v>18274365</v>
      </c>
      <c r="J50" s="20"/>
      <c r="K50" s="20"/>
      <c r="L50" s="20"/>
      <c r="M50" s="20"/>
      <c r="N50" s="20"/>
      <c r="O50" s="20"/>
      <c r="P50" s="20"/>
      <c r="Q50" s="20"/>
      <c r="R50" s="20">
        <f>R51</f>
        <v>-21000</v>
      </c>
      <c r="S50" s="20"/>
      <c r="T50" s="20">
        <f>T51</f>
        <v>18253365</v>
      </c>
      <c r="U50" s="20"/>
      <c r="V50" s="20"/>
      <c r="W50" s="20"/>
      <c r="X50" s="20"/>
      <c r="Y50" s="20">
        <f>Y51</f>
        <v>19074894</v>
      </c>
      <c r="Z50" s="20"/>
      <c r="AA50" s="20"/>
      <c r="AB50" s="20"/>
      <c r="AC50" s="20"/>
      <c r="AD50" s="20">
        <f>AD51</f>
        <v>20043711</v>
      </c>
    </row>
    <row r="51" spans="1:30" ht="22.5" x14ac:dyDescent="0.25">
      <c r="A51" s="4"/>
      <c r="B51" s="5" t="s">
        <v>49</v>
      </c>
      <c r="C51" s="2" t="s">
        <v>16</v>
      </c>
      <c r="D51" s="11">
        <v>1</v>
      </c>
      <c r="E51" s="11">
        <v>11</v>
      </c>
      <c r="F51" s="11">
        <v>902</v>
      </c>
      <c r="G51" s="11">
        <v>16723</v>
      </c>
      <c r="H51" s="21">
        <v>313</v>
      </c>
      <c r="I51" s="20">
        <v>18274365</v>
      </c>
      <c r="J51" s="20"/>
      <c r="K51" s="20"/>
      <c r="L51" s="20"/>
      <c r="M51" s="20"/>
      <c r="N51" s="20"/>
      <c r="O51" s="20"/>
      <c r="P51" s="20"/>
      <c r="Q51" s="20">
        <v>-21000</v>
      </c>
      <c r="R51" s="20">
        <v>-21000</v>
      </c>
      <c r="S51" s="20"/>
      <c r="T51" s="20">
        <f>18274365+R51</f>
        <v>18253365</v>
      </c>
      <c r="U51" s="20"/>
      <c r="V51" s="20"/>
      <c r="W51" s="20"/>
      <c r="X51" s="20"/>
      <c r="Y51" s="20">
        <v>19074894</v>
      </c>
      <c r="Z51" s="20"/>
      <c r="AA51" s="20"/>
      <c r="AB51" s="20"/>
      <c r="AC51" s="20"/>
      <c r="AD51" s="20">
        <v>20043711</v>
      </c>
    </row>
    <row r="52" spans="1:30" ht="22.5" x14ac:dyDescent="0.25">
      <c r="A52" s="4"/>
      <c r="B52" s="5" t="s">
        <v>41</v>
      </c>
      <c r="C52" s="2" t="s">
        <v>16</v>
      </c>
      <c r="D52" s="11">
        <v>1</v>
      </c>
      <c r="E52" s="11">
        <v>11</v>
      </c>
      <c r="F52" s="11">
        <v>902</v>
      </c>
      <c r="G52" s="11">
        <v>16723</v>
      </c>
      <c r="H52" s="21">
        <v>320</v>
      </c>
      <c r="I52" s="20">
        <f>I53</f>
        <v>5135575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>
        <f>T53</f>
        <v>5135575</v>
      </c>
      <c r="U52" s="20"/>
      <c r="V52" s="20"/>
      <c r="W52" s="20"/>
      <c r="X52" s="20"/>
      <c r="Y52" s="20">
        <f>Y53</f>
        <v>5426746</v>
      </c>
      <c r="Z52" s="20"/>
      <c r="AA52" s="20"/>
      <c r="AB52" s="20"/>
      <c r="AC52" s="20"/>
      <c r="AD52" s="20">
        <f>AD53</f>
        <v>5612729</v>
      </c>
    </row>
    <row r="53" spans="1:30" ht="22.5" x14ac:dyDescent="0.25">
      <c r="A53" s="4"/>
      <c r="B53" s="5" t="s">
        <v>50</v>
      </c>
      <c r="C53" s="2" t="s">
        <v>16</v>
      </c>
      <c r="D53" s="11">
        <v>1</v>
      </c>
      <c r="E53" s="11">
        <v>11</v>
      </c>
      <c r="F53" s="11">
        <v>902</v>
      </c>
      <c r="G53" s="11">
        <v>16723</v>
      </c>
      <c r="H53" s="21">
        <v>323</v>
      </c>
      <c r="I53" s="20">
        <v>5135575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>
        <v>5135575</v>
      </c>
      <c r="U53" s="20"/>
      <c r="V53" s="20"/>
      <c r="W53" s="20"/>
      <c r="X53" s="20"/>
      <c r="Y53" s="20">
        <v>5426746</v>
      </c>
      <c r="Z53" s="20"/>
      <c r="AA53" s="20"/>
      <c r="AB53" s="20"/>
      <c r="AC53" s="20"/>
      <c r="AD53" s="20">
        <v>5612729</v>
      </c>
    </row>
    <row r="54" spans="1:30" ht="42" x14ac:dyDescent="0.25">
      <c r="A54" s="4"/>
      <c r="B54" s="3" t="s">
        <v>51</v>
      </c>
      <c r="C54" s="19" t="s">
        <v>16</v>
      </c>
      <c r="D54" s="13">
        <v>1</v>
      </c>
      <c r="E54" s="13">
        <v>11</v>
      </c>
      <c r="F54" s="13">
        <v>902</v>
      </c>
      <c r="G54" s="13">
        <v>17900</v>
      </c>
      <c r="H54" s="14"/>
      <c r="I54" s="15">
        <f>I55+I59</f>
        <v>433852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>
        <f>T55+T59</f>
        <v>433852</v>
      </c>
      <c r="U54" s="15"/>
      <c r="V54" s="15"/>
      <c r="W54" s="15"/>
      <c r="X54" s="15"/>
      <c r="Y54" s="15">
        <f>Y55+Y59</f>
        <v>433852</v>
      </c>
      <c r="Z54" s="15"/>
      <c r="AA54" s="15"/>
      <c r="AB54" s="15"/>
      <c r="AC54" s="15"/>
      <c r="AD54" s="15">
        <f>AD55+AD59</f>
        <v>433852</v>
      </c>
    </row>
    <row r="55" spans="1:30" ht="56.25" x14ac:dyDescent="0.25">
      <c r="A55" s="4"/>
      <c r="B55" s="5" t="s">
        <v>22</v>
      </c>
      <c r="C55" s="2" t="s">
        <v>16</v>
      </c>
      <c r="D55" s="11">
        <v>1</v>
      </c>
      <c r="E55" s="11">
        <v>11</v>
      </c>
      <c r="F55" s="11">
        <v>902</v>
      </c>
      <c r="G55" s="11">
        <v>17900</v>
      </c>
      <c r="H55" s="21">
        <v>100</v>
      </c>
      <c r="I55" s="20">
        <f>I56</f>
        <v>260773.44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>
        <f>T56</f>
        <v>260773.44</v>
      </c>
      <c r="U55" s="20"/>
      <c r="V55" s="20"/>
      <c r="W55" s="20"/>
      <c r="X55" s="20"/>
      <c r="Y55" s="20">
        <f>Y56</f>
        <v>270682.85000000003</v>
      </c>
      <c r="Z55" s="20"/>
      <c r="AA55" s="20"/>
      <c r="AB55" s="20"/>
      <c r="AC55" s="20"/>
      <c r="AD55" s="20">
        <f>AD56</f>
        <v>281649.58</v>
      </c>
    </row>
    <row r="56" spans="1:30" ht="22.5" x14ac:dyDescent="0.25">
      <c r="A56" s="4"/>
      <c r="B56" s="5" t="s">
        <v>23</v>
      </c>
      <c r="C56" s="2" t="s">
        <v>16</v>
      </c>
      <c r="D56" s="11">
        <v>1</v>
      </c>
      <c r="E56" s="11">
        <v>11</v>
      </c>
      <c r="F56" s="11">
        <v>902</v>
      </c>
      <c r="G56" s="11">
        <v>17900</v>
      </c>
      <c r="H56" s="21">
        <v>120</v>
      </c>
      <c r="I56" s="20">
        <f>I57+I58</f>
        <v>260773.44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>
        <f>T57+T58</f>
        <v>260773.44</v>
      </c>
      <c r="U56" s="20"/>
      <c r="V56" s="20"/>
      <c r="W56" s="20"/>
      <c r="X56" s="20"/>
      <c r="Y56" s="20">
        <f>Y57+Y58</f>
        <v>270682.85000000003</v>
      </c>
      <c r="Z56" s="20"/>
      <c r="AA56" s="20"/>
      <c r="AB56" s="20"/>
      <c r="AC56" s="20"/>
      <c r="AD56" s="20">
        <f>AD57+AD58</f>
        <v>281649.58</v>
      </c>
    </row>
    <row r="57" spans="1:30" ht="22.5" x14ac:dyDescent="0.25">
      <c r="A57" s="4"/>
      <c r="B57" s="5" t="s">
        <v>44</v>
      </c>
      <c r="C57" s="2" t="s">
        <v>16</v>
      </c>
      <c r="D57" s="11">
        <v>1</v>
      </c>
      <c r="E57" s="11">
        <v>11</v>
      </c>
      <c r="F57" s="11">
        <v>902</v>
      </c>
      <c r="G57" s="11">
        <v>17900</v>
      </c>
      <c r="H57" s="21">
        <v>121</v>
      </c>
      <c r="I57" s="20">
        <v>200286.82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>
        <v>200286.82</v>
      </c>
      <c r="U57" s="20"/>
      <c r="V57" s="20"/>
      <c r="W57" s="20"/>
      <c r="X57" s="20"/>
      <c r="Y57" s="20">
        <v>207897.73</v>
      </c>
      <c r="Z57" s="20"/>
      <c r="AA57" s="20"/>
      <c r="AB57" s="20"/>
      <c r="AC57" s="20"/>
      <c r="AD57" s="20">
        <v>216320.72</v>
      </c>
    </row>
    <row r="58" spans="1:30" ht="33.75" x14ac:dyDescent="0.25">
      <c r="A58" s="4"/>
      <c r="B58" s="5" t="s">
        <v>25</v>
      </c>
      <c r="C58" s="2" t="s">
        <v>16</v>
      </c>
      <c r="D58" s="11">
        <v>1</v>
      </c>
      <c r="E58" s="11">
        <v>11</v>
      </c>
      <c r="F58" s="11">
        <v>902</v>
      </c>
      <c r="G58" s="11">
        <v>17900</v>
      </c>
      <c r="H58" s="21">
        <v>129</v>
      </c>
      <c r="I58" s="20">
        <v>60486.62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>
        <v>60486.62</v>
      </c>
      <c r="U58" s="20"/>
      <c r="V58" s="20"/>
      <c r="W58" s="20"/>
      <c r="X58" s="20"/>
      <c r="Y58" s="20">
        <v>62785.120000000003</v>
      </c>
      <c r="Z58" s="20"/>
      <c r="AA58" s="20"/>
      <c r="AB58" s="20"/>
      <c r="AC58" s="20"/>
      <c r="AD58" s="20">
        <v>65328.86</v>
      </c>
    </row>
    <row r="59" spans="1:30" ht="22.5" x14ac:dyDescent="0.25">
      <c r="A59" s="4"/>
      <c r="B59" s="5" t="s">
        <v>26</v>
      </c>
      <c r="C59" s="2" t="s">
        <v>16</v>
      </c>
      <c r="D59" s="11">
        <v>1</v>
      </c>
      <c r="E59" s="11">
        <v>11</v>
      </c>
      <c r="F59" s="11">
        <v>902</v>
      </c>
      <c r="G59" s="11">
        <v>17900</v>
      </c>
      <c r="H59" s="21">
        <v>200</v>
      </c>
      <c r="I59" s="20">
        <f t="shared" ref="I59:AD60" si="12">I60</f>
        <v>173078.56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>
        <f t="shared" si="12"/>
        <v>173078.56</v>
      </c>
      <c r="U59" s="20"/>
      <c r="V59" s="20"/>
      <c r="W59" s="20"/>
      <c r="X59" s="20"/>
      <c r="Y59" s="20">
        <f t="shared" si="12"/>
        <v>163169.15</v>
      </c>
      <c r="Z59" s="20"/>
      <c r="AA59" s="20"/>
      <c r="AB59" s="20"/>
      <c r="AC59" s="20"/>
      <c r="AD59" s="20">
        <f t="shared" si="12"/>
        <v>152202.42000000001</v>
      </c>
    </row>
    <row r="60" spans="1:30" ht="22.5" x14ac:dyDescent="0.25">
      <c r="A60" s="4"/>
      <c r="B60" s="5" t="s">
        <v>28</v>
      </c>
      <c r="C60" s="2" t="s">
        <v>16</v>
      </c>
      <c r="D60" s="11">
        <v>1</v>
      </c>
      <c r="E60" s="11">
        <v>11</v>
      </c>
      <c r="F60" s="11">
        <v>902</v>
      </c>
      <c r="G60" s="11">
        <v>17900</v>
      </c>
      <c r="H60" s="21">
        <v>240</v>
      </c>
      <c r="I60" s="20">
        <f t="shared" si="12"/>
        <v>173078.56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>
        <f t="shared" si="12"/>
        <v>173078.56</v>
      </c>
      <c r="U60" s="20"/>
      <c r="V60" s="20"/>
      <c r="W60" s="20"/>
      <c r="X60" s="20"/>
      <c r="Y60" s="20">
        <f t="shared" si="12"/>
        <v>163169.15</v>
      </c>
      <c r="Z60" s="20"/>
      <c r="AA60" s="20"/>
      <c r="AB60" s="20"/>
      <c r="AC60" s="20"/>
      <c r="AD60" s="20">
        <f t="shared" si="12"/>
        <v>152202.42000000001</v>
      </c>
    </row>
    <row r="61" spans="1:30" ht="22.5" x14ac:dyDescent="0.25">
      <c r="A61" s="4"/>
      <c r="B61" s="5" t="s">
        <v>30</v>
      </c>
      <c r="C61" s="2" t="s">
        <v>16</v>
      </c>
      <c r="D61" s="11">
        <v>1</v>
      </c>
      <c r="E61" s="11">
        <v>11</v>
      </c>
      <c r="F61" s="11">
        <v>902</v>
      </c>
      <c r="G61" s="11">
        <v>17900</v>
      </c>
      <c r="H61" s="21">
        <v>244</v>
      </c>
      <c r="I61" s="20">
        <v>173078.56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>
        <v>173078.56</v>
      </c>
      <c r="U61" s="20"/>
      <c r="V61" s="20"/>
      <c r="W61" s="20"/>
      <c r="X61" s="20"/>
      <c r="Y61" s="20">
        <v>163169.15</v>
      </c>
      <c r="Z61" s="20"/>
      <c r="AA61" s="20"/>
      <c r="AB61" s="20"/>
      <c r="AC61" s="20"/>
      <c r="AD61" s="20">
        <v>152202.42000000001</v>
      </c>
    </row>
    <row r="62" spans="1:30" ht="42.75" customHeight="1" x14ac:dyDescent="0.25">
      <c r="A62" s="4"/>
      <c r="B62" s="3" t="s">
        <v>52</v>
      </c>
      <c r="C62" s="19" t="s">
        <v>16</v>
      </c>
      <c r="D62" s="13">
        <v>1</v>
      </c>
      <c r="E62" s="13">
        <v>11</v>
      </c>
      <c r="F62" s="13">
        <v>902</v>
      </c>
      <c r="G62" s="13">
        <v>51200</v>
      </c>
      <c r="H62" s="14"/>
      <c r="I62" s="15">
        <f t="shared" ref="I62:AD64" si="13">I63</f>
        <v>30560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>
        <f t="shared" si="13"/>
        <v>30560</v>
      </c>
      <c r="U62" s="15"/>
      <c r="V62" s="15"/>
      <c r="W62" s="15"/>
      <c r="X62" s="15"/>
      <c r="Y62" s="15">
        <f t="shared" si="13"/>
        <v>55200</v>
      </c>
      <c r="Z62" s="15"/>
      <c r="AA62" s="15"/>
      <c r="AB62" s="15"/>
      <c r="AC62" s="15"/>
      <c r="AD62" s="15">
        <f t="shared" si="13"/>
        <v>171954</v>
      </c>
    </row>
    <row r="63" spans="1:30" ht="22.5" x14ac:dyDescent="0.25">
      <c r="A63" s="4"/>
      <c r="B63" s="5" t="s">
        <v>26</v>
      </c>
      <c r="C63" s="2" t="s">
        <v>16</v>
      </c>
      <c r="D63" s="11">
        <v>1</v>
      </c>
      <c r="E63" s="11">
        <v>11</v>
      </c>
      <c r="F63" s="11">
        <v>902</v>
      </c>
      <c r="G63" s="11">
        <v>51200</v>
      </c>
      <c r="H63" s="21">
        <v>200</v>
      </c>
      <c r="I63" s="20">
        <f t="shared" si="13"/>
        <v>30560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>
        <f t="shared" si="13"/>
        <v>30560</v>
      </c>
      <c r="U63" s="20"/>
      <c r="V63" s="20"/>
      <c r="W63" s="20"/>
      <c r="X63" s="20"/>
      <c r="Y63" s="20">
        <f t="shared" si="13"/>
        <v>55200</v>
      </c>
      <c r="Z63" s="20"/>
      <c r="AA63" s="20"/>
      <c r="AB63" s="20"/>
      <c r="AC63" s="20"/>
      <c r="AD63" s="20">
        <f t="shared" si="13"/>
        <v>171954</v>
      </c>
    </row>
    <row r="64" spans="1:30" ht="22.5" x14ac:dyDescent="0.25">
      <c r="A64" s="4"/>
      <c r="B64" s="5" t="s">
        <v>28</v>
      </c>
      <c r="C64" s="2" t="s">
        <v>16</v>
      </c>
      <c r="D64" s="11">
        <v>1</v>
      </c>
      <c r="E64" s="11">
        <v>11</v>
      </c>
      <c r="F64" s="11">
        <v>902</v>
      </c>
      <c r="G64" s="11">
        <v>51200</v>
      </c>
      <c r="H64" s="21">
        <v>240</v>
      </c>
      <c r="I64" s="20">
        <f t="shared" si="13"/>
        <v>30560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>
        <f t="shared" si="13"/>
        <v>30560</v>
      </c>
      <c r="U64" s="20"/>
      <c r="V64" s="20"/>
      <c r="W64" s="20"/>
      <c r="X64" s="20"/>
      <c r="Y64" s="20">
        <f t="shared" si="13"/>
        <v>55200</v>
      </c>
      <c r="Z64" s="20"/>
      <c r="AA64" s="20"/>
      <c r="AB64" s="20"/>
      <c r="AC64" s="20"/>
      <c r="AD64" s="20">
        <f t="shared" si="13"/>
        <v>171954</v>
      </c>
    </row>
    <row r="65" spans="1:38" ht="22.5" x14ac:dyDescent="0.25">
      <c r="A65" s="4"/>
      <c r="B65" s="5" t="s">
        <v>30</v>
      </c>
      <c r="C65" s="2" t="s">
        <v>16</v>
      </c>
      <c r="D65" s="11">
        <v>1</v>
      </c>
      <c r="E65" s="11">
        <v>11</v>
      </c>
      <c r="F65" s="11">
        <v>902</v>
      </c>
      <c r="G65" s="11">
        <v>51200</v>
      </c>
      <c r="H65" s="21">
        <v>244</v>
      </c>
      <c r="I65" s="20">
        <v>30560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>
        <v>30560</v>
      </c>
      <c r="U65" s="20"/>
      <c r="V65" s="20"/>
      <c r="W65" s="20"/>
      <c r="X65" s="20"/>
      <c r="Y65" s="20">
        <v>55200</v>
      </c>
      <c r="Z65" s="20"/>
      <c r="AA65" s="20"/>
      <c r="AB65" s="20"/>
      <c r="AC65" s="20"/>
      <c r="AD65" s="20">
        <v>171954</v>
      </c>
    </row>
    <row r="66" spans="1:38" ht="31.5" x14ac:dyDescent="0.25">
      <c r="A66" s="4"/>
      <c r="B66" s="3" t="s">
        <v>53</v>
      </c>
      <c r="C66" s="19" t="s">
        <v>16</v>
      </c>
      <c r="D66" s="13">
        <v>1</v>
      </c>
      <c r="E66" s="13">
        <v>11</v>
      </c>
      <c r="F66" s="13">
        <v>902</v>
      </c>
      <c r="G66" s="13">
        <v>52600</v>
      </c>
      <c r="H66" s="14"/>
      <c r="I66" s="15">
        <f t="shared" ref="I66:AD68" si="14">I67</f>
        <v>414094.99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>
        <f t="shared" si="14"/>
        <v>522119.77</v>
      </c>
      <c r="U66" s="15"/>
      <c r="V66" s="15"/>
      <c r="W66" s="15"/>
      <c r="X66" s="15"/>
      <c r="Y66" s="15">
        <f t="shared" si="14"/>
        <v>430658.9</v>
      </c>
      <c r="Z66" s="15"/>
      <c r="AA66" s="15"/>
      <c r="AB66" s="15"/>
      <c r="AC66" s="15"/>
      <c r="AD66" s="15">
        <f t="shared" si="14"/>
        <v>447885.44</v>
      </c>
    </row>
    <row r="67" spans="1:38" x14ac:dyDescent="0.25">
      <c r="A67" s="4"/>
      <c r="B67" s="5" t="s">
        <v>40</v>
      </c>
      <c r="C67" s="2" t="s">
        <v>16</v>
      </c>
      <c r="D67" s="11">
        <v>1</v>
      </c>
      <c r="E67" s="11">
        <v>11</v>
      </c>
      <c r="F67" s="11">
        <v>902</v>
      </c>
      <c r="G67" s="11">
        <v>52600</v>
      </c>
      <c r="H67" s="21">
        <v>300</v>
      </c>
      <c r="I67" s="20">
        <f t="shared" si="14"/>
        <v>414094.99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>
        <f t="shared" si="14"/>
        <v>522119.77</v>
      </c>
      <c r="U67" s="20"/>
      <c r="V67" s="20"/>
      <c r="W67" s="20"/>
      <c r="X67" s="20"/>
      <c r="Y67" s="20">
        <f t="shared" si="14"/>
        <v>430658.9</v>
      </c>
      <c r="Z67" s="20"/>
      <c r="AA67" s="20"/>
      <c r="AB67" s="20"/>
      <c r="AC67" s="20"/>
      <c r="AD67" s="20">
        <f t="shared" si="14"/>
        <v>447885.44</v>
      </c>
    </row>
    <row r="68" spans="1:38" x14ac:dyDescent="0.25">
      <c r="A68" s="4"/>
      <c r="B68" s="5" t="s">
        <v>48</v>
      </c>
      <c r="C68" s="2" t="s">
        <v>16</v>
      </c>
      <c r="D68" s="11">
        <v>1</v>
      </c>
      <c r="E68" s="11">
        <v>11</v>
      </c>
      <c r="F68" s="11">
        <v>902</v>
      </c>
      <c r="G68" s="11">
        <v>52600</v>
      </c>
      <c r="H68" s="21">
        <v>310</v>
      </c>
      <c r="I68" s="20">
        <f t="shared" si="14"/>
        <v>414094.99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>
        <f t="shared" si="14"/>
        <v>522119.77</v>
      </c>
      <c r="U68" s="20"/>
      <c r="V68" s="20"/>
      <c r="W68" s="20"/>
      <c r="X68" s="20"/>
      <c r="Y68" s="20">
        <f t="shared" si="14"/>
        <v>430658.9</v>
      </c>
      <c r="Z68" s="20"/>
      <c r="AA68" s="20"/>
      <c r="AB68" s="20"/>
      <c r="AC68" s="20"/>
      <c r="AD68" s="20">
        <f t="shared" si="14"/>
        <v>447885.44</v>
      </c>
    </row>
    <row r="69" spans="1:38" ht="22.5" x14ac:dyDescent="0.25">
      <c r="A69" s="4"/>
      <c r="B69" s="5" t="s">
        <v>49</v>
      </c>
      <c r="C69" s="2" t="s">
        <v>16</v>
      </c>
      <c r="D69" s="11">
        <v>1</v>
      </c>
      <c r="E69" s="11">
        <v>11</v>
      </c>
      <c r="F69" s="11">
        <v>902</v>
      </c>
      <c r="G69" s="11">
        <v>52600</v>
      </c>
      <c r="H69" s="21">
        <v>313</v>
      </c>
      <c r="I69" s="20">
        <v>414094.99</v>
      </c>
      <c r="J69" s="20"/>
      <c r="K69" s="20"/>
      <c r="L69" s="20"/>
      <c r="M69" s="20"/>
      <c r="N69" s="20"/>
      <c r="O69" s="20"/>
      <c r="P69" s="20"/>
      <c r="Q69" s="20"/>
      <c r="R69" s="20"/>
      <c r="S69" s="20">
        <v>108024.78</v>
      </c>
      <c r="T69" s="20">
        <f>414094.99+S69</f>
        <v>522119.77</v>
      </c>
      <c r="U69" s="20"/>
      <c r="V69" s="20"/>
      <c r="W69" s="20"/>
      <c r="X69" s="20"/>
      <c r="Y69" s="20">
        <v>430658.9</v>
      </c>
      <c r="Z69" s="20"/>
      <c r="AA69" s="20"/>
      <c r="AB69" s="20"/>
      <c r="AC69" s="20"/>
      <c r="AD69" s="20">
        <v>447885.44</v>
      </c>
    </row>
    <row r="70" spans="1:38" s="44" customFormat="1" ht="21" x14ac:dyDescent="0.25">
      <c r="A70" s="4"/>
      <c r="B70" s="3" t="s">
        <v>343</v>
      </c>
      <c r="C70" s="19" t="s">
        <v>16</v>
      </c>
      <c r="D70" s="13">
        <v>1</v>
      </c>
      <c r="E70" s="13">
        <v>11</v>
      </c>
      <c r="F70" s="13">
        <v>902</v>
      </c>
      <c r="G70" s="13">
        <v>54690</v>
      </c>
      <c r="H70" s="14"/>
      <c r="I70" s="15"/>
      <c r="J70" s="15"/>
      <c r="K70" s="15"/>
      <c r="L70" s="15">
        <f t="shared" ref="L70:T72" si="15">L71</f>
        <v>949766</v>
      </c>
      <c r="M70" s="15"/>
      <c r="N70" s="15"/>
      <c r="O70" s="15"/>
      <c r="P70" s="15"/>
      <c r="Q70" s="15"/>
      <c r="R70" s="15"/>
      <c r="S70" s="15"/>
      <c r="T70" s="15">
        <f t="shared" si="15"/>
        <v>949766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F70" s="30"/>
      <c r="AG70" s="30"/>
      <c r="AH70" s="30"/>
      <c r="AI70" s="30"/>
      <c r="AJ70" s="30"/>
      <c r="AK70" s="30"/>
      <c r="AL70" s="30"/>
    </row>
    <row r="71" spans="1:38" ht="22.5" x14ac:dyDescent="0.25">
      <c r="A71" s="4"/>
      <c r="B71" s="5" t="s">
        <v>343</v>
      </c>
      <c r="C71" s="2" t="s">
        <v>16</v>
      </c>
      <c r="D71" s="11">
        <v>1</v>
      </c>
      <c r="E71" s="11">
        <v>11</v>
      </c>
      <c r="F71" s="11">
        <v>902</v>
      </c>
      <c r="G71" s="11">
        <v>54690</v>
      </c>
      <c r="H71" s="21">
        <v>200</v>
      </c>
      <c r="I71" s="20"/>
      <c r="J71" s="20"/>
      <c r="K71" s="20"/>
      <c r="L71" s="20">
        <f t="shared" si="15"/>
        <v>949766</v>
      </c>
      <c r="M71" s="20"/>
      <c r="N71" s="20"/>
      <c r="O71" s="20"/>
      <c r="P71" s="20"/>
      <c r="Q71" s="20"/>
      <c r="R71" s="20"/>
      <c r="S71" s="20"/>
      <c r="T71" s="20">
        <f t="shared" si="15"/>
        <v>949766</v>
      </c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8" ht="22.5" x14ac:dyDescent="0.25">
      <c r="A72" s="4"/>
      <c r="B72" s="5" t="s">
        <v>343</v>
      </c>
      <c r="C72" s="2" t="s">
        <v>16</v>
      </c>
      <c r="D72" s="11">
        <v>1</v>
      </c>
      <c r="E72" s="11">
        <v>11</v>
      </c>
      <c r="F72" s="11">
        <v>902</v>
      </c>
      <c r="G72" s="11">
        <v>54690</v>
      </c>
      <c r="H72" s="21">
        <v>240</v>
      </c>
      <c r="I72" s="20"/>
      <c r="J72" s="20"/>
      <c r="K72" s="20"/>
      <c r="L72" s="20">
        <f t="shared" si="15"/>
        <v>949766</v>
      </c>
      <c r="M72" s="20"/>
      <c r="N72" s="20"/>
      <c r="O72" s="20"/>
      <c r="P72" s="20"/>
      <c r="Q72" s="20"/>
      <c r="R72" s="20"/>
      <c r="S72" s="20"/>
      <c r="T72" s="20">
        <f t="shared" si="15"/>
        <v>949766</v>
      </c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8" ht="22.5" x14ac:dyDescent="0.25">
      <c r="A73" s="4"/>
      <c r="B73" s="5" t="s">
        <v>343</v>
      </c>
      <c r="C73" s="2" t="s">
        <v>16</v>
      </c>
      <c r="D73" s="11">
        <v>1</v>
      </c>
      <c r="E73" s="11">
        <v>11</v>
      </c>
      <c r="F73" s="11">
        <v>902</v>
      </c>
      <c r="G73" s="11">
        <v>54690</v>
      </c>
      <c r="H73" s="21">
        <v>244</v>
      </c>
      <c r="I73" s="20"/>
      <c r="J73" s="20"/>
      <c r="K73" s="20"/>
      <c r="L73" s="20">
        <v>949766</v>
      </c>
      <c r="M73" s="20"/>
      <c r="N73" s="20"/>
      <c r="O73" s="20"/>
      <c r="P73" s="20"/>
      <c r="Q73" s="20"/>
      <c r="R73" s="20"/>
      <c r="S73" s="20"/>
      <c r="T73" s="20">
        <f>L73</f>
        <v>949766</v>
      </c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8" s="44" customFormat="1" ht="53.25" customHeight="1" x14ac:dyDescent="0.25">
      <c r="A74" s="3" t="s">
        <v>54</v>
      </c>
      <c r="B74" s="49" t="s">
        <v>55</v>
      </c>
      <c r="C74" s="13" t="s">
        <v>16</v>
      </c>
      <c r="D74" s="13">
        <v>1</v>
      </c>
      <c r="E74" s="13">
        <v>11</v>
      </c>
      <c r="F74" s="13">
        <v>902</v>
      </c>
      <c r="G74" s="13">
        <v>80020</v>
      </c>
      <c r="H74" s="18"/>
      <c r="I74" s="15">
        <f t="shared" ref="I74:AD75" si="16">I75</f>
        <v>1907032.62</v>
      </c>
      <c r="J74" s="15">
        <f t="shared" si="16"/>
        <v>3117</v>
      </c>
      <c r="K74" s="15"/>
      <c r="L74" s="15"/>
      <c r="M74" s="15"/>
      <c r="N74" s="15"/>
      <c r="O74" s="15"/>
      <c r="P74" s="15"/>
      <c r="Q74" s="15"/>
      <c r="R74" s="15"/>
      <c r="S74" s="15"/>
      <c r="T74" s="15">
        <f t="shared" si="16"/>
        <v>1910149.62</v>
      </c>
      <c r="U74" s="15"/>
      <c r="V74" s="15"/>
      <c r="W74" s="15"/>
      <c r="X74" s="15"/>
      <c r="Y74" s="15">
        <f t="shared" si="16"/>
        <v>1977321.1300000001</v>
      </c>
      <c r="Z74" s="15"/>
      <c r="AA74" s="15"/>
      <c r="AB74" s="15"/>
      <c r="AC74" s="15"/>
      <c r="AD74" s="15">
        <f t="shared" si="16"/>
        <v>2053132.94</v>
      </c>
      <c r="AF74" s="30"/>
      <c r="AG74" s="30"/>
      <c r="AH74" s="30"/>
      <c r="AI74" s="30"/>
      <c r="AJ74" s="30"/>
      <c r="AK74" s="30"/>
      <c r="AL74" s="30"/>
    </row>
    <row r="75" spans="1:38" ht="81" customHeight="1" x14ac:dyDescent="0.25">
      <c r="A75" s="5" t="s">
        <v>22</v>
      </c>
      <c r="B75" s="5" t="s">
        <v>22</v>
      </c>
      <c r="C75" s="11" t="s">
        <v>16</v>
      </c>
      <c r="D75" s="11">
        <v>1</v>
      </c>
      <c r="E75" s="11">
        <v>11</v>
      </c>
      <c r="F75" s="11">
        <v>902</v>
      </c>
      <c r="G75" s="11">
        <v>80020</v>
      </c>
      <c r="H75" s="21">
        <v>100</v>
      </c>
      <c r="I75" s="20">
        <f t="shared" si="16"/>
        <v>1907032.62</v>
      </c>
      <c r="J75" s="20">
        <f t="shared" si="16"/>
        <v>3117</v>
      </c>
      <c r="K75" s="20"/>
      <c r="L75" s="20"/>
      <c r="M75" s="20"/>
      <c r="N75" s="20"/>
      <c r="O75" s="20"/>
      <c r="P75" s="20"/>
      <c r="Q75" s="20"/>
      <c r="R75" s="20"/>
      <c r="S75" s="20"/>
      <c r="T75" s="20">
        <f t="shared" si="16"/>
        <v>1910149.62</v>
      </c>
      <c r="U75" s="20"/>
      <c r="V75" s="20"/>
      <c r="W75" s="20"/>
      <c r="X75" s="20"/>
      <c r="Y75" s="20">
        <f t="shared" si="16"/>
        <v>1977321.1300000001</v>
      </c>
      <c r="Z75" s="20"/>
      <c r="AA75" s="20"/>
      <c r="AB75" s="20"/>
      <c r="AC75" s="20"/>
      <c r="AD75" s="20">
        <f t="shared" si="16"/>
        <v>2053132.94</v>
      </c>
    </row>
    <row r="76" spans="1:38" ht="39.75" customHeight="1" x14ac:dyDescent="0.25">
      <c r="A76" s="5" t="s">
        <v>23</v>
      </c>
      <c r="B76" s="5" t="s">
        <v>23</v>
      </c>
      <c r="C76" s="11" t="s">
        <v>16</v>
      </c>
      <c r="D76" s="11">
        <v>1</v>
      </c>
      <c r="E76" s="11">
        <v>11</v>
      </c>
      <c r="F76" s="11">
        <v>902</v>
      </c>
      <c r="G76" s="11">
        <v>80020</v>
      </c>
      <c r="H76" s="21">
        <v>120</v>
      </c>
      <c r="I76" s="20">
        <f>I77+I79+I78</f>
        <v>1907032.62</v>
      </c>
      <c r="J76" s="20">
        <f>J77+J79+J78</f>
        <v>3117</v>
      </c>
      <c r="K76" s="20"/>
      <c r="L76" s="20"/>
      <c r="M76" s="20"/>
      <c r="N76" s="20"/>
      <c r="O76" s="20"/>
      <c r="P76" s="20"/>
      <c r="Q76" s="20"/>
      <c r="R76" s="20"/>
      <c r="S76" s="20"/>
      <c r="T76" s="20">
        <f>T77+T79+T78</f>
        <v>1910149.62</v>
      </c>
      <c r="U76" s="20"/>
      <c r="V76" s="20"/>
      <c r="W76" s="20"/>
      <c r="X76" s="20"/>
      <c r="Y76" s="20">
        <f>Y77+Y79+Y78</f>
        <v>1977321.1300000001</v>
      </c>
      <c r="Z76" s="20"/>
      <c r="AA76" s="20"/>
      <c r="AB76" s="20"/>
      <c r="AC76" s="20"/>
      <c r="AD76" s="20">
        <f>AD77+AD79+AD78</f>
        <v>2053132.94</v>
      </c>
    </row>
    <row r="77" spans="1:38" ht="25.5" customHeight="1" x14ac:dyDescent="0.25">
      <c r="A77" s="5" t="s">
        <v>44</v>
      </c>
      <c r="B77" s="5" t="s">
        <v>44</v>
      </c>
      <c r="C77" s="11" t="s">
        <v>16</v>
      </c>
      <c r="D77" s="11">
        <v>1</v>
      </c>
      <c r="E77" s="11">
        <v>11</v>
      </c>
      <c r="F77" s="11">
        <v>902</v>
      </c>
      <c r="G77" s="11">
        <v>80020</v>
      </c>
      <c r="H77" s="21">
        <v>121</v>
      </c>
      <c r="I77" s="20">
        <v>1401694.79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>
        <v>1401694.79</v>
      </c>
      <c r="U77" s="20"/>
      <c r="V77" s="20"/>
      <c r="W77" s="20"/>
      <c r="X77" s="20"/>
      <c r="Y77" s="20">
        <v>1455679.82</v>
      </c>
      <c r="Z77" s="20"/>
      <c r="AA77" s="20"/>
      <c r="AB77" s="20"/>
      <c r="AC77" s="20"/>
      <c r="AD77" s="20">
        <v>1513907.02</v>
      </c>
    </row>
    <row r="78" spans="1:38" ht="58.5" customHeight="1" x14ac:dyDescent="0.25">
      <c r="A78" s="5"/>
      <c r="B78" s="5" t="s">
        <v>45</v>
      </c>
      <c r="C78" s="11" t="s">
        <v>16</v>
      </c>
      <c r="D78" s="11">
        <v>1</v>
      </c>
      <c r="E78" s="11">
        <v>11</v>
      </c>
      <c r="F78" s="11">
        <v>902</v>
      </c>
      <c r="G78" s="11">
        <v>80020</v>
      </c>
      <c r="H78" s="21">
        <v>122</v>
      </c>
      <c r="I78" s="20">
        <v>63000</v>
      </c>
      <c r="J78" s="20">
        <v>2394</v>
      </c>
      <c r="K78" s="20"/>
      <c r="L78" s="20"/>
      <c r="M78" s="20"/>
      <c r="N78" s="20"/>
      <c r="O78" s="20"/>
      <c r="P78" s="20"/>
      <c r="Q78" s="20"/>
      <c r="R78" s="20"/>
      <c r="S78" s="20"/>
      <c r="T78" s="20">
        <f>63000+J78</f>
        <v>65394</v>
      </c>
      <c r="U78" s="20"/>
      <c r="V78" s="20"/>
      <c r="W78" s="20"/>
      <c r="X78" s="20"/>
      <c r="Y78" s="20">
        <v>63000</v>
      </c>
      <c r="Z78" s="20"/>
      <c r="AA78" s="20"/>
      <c r="AB78" s="20"/>
      <c r="AC78" s="20"/>
      <c r="AD78" s="20">
        <v>63000</v>
      </c>
    </row>
    <row r="79" spans="1:38" ht="69.75" customHeight="1" x14ac:dyDescent="0.25">
      <c r="A79" s="5" t="s">
        <v>25</v>
      </c>
      <c r="B79" s="5" t="s">
        <v>25</v>
      </c>
      <c r="C79" s="11" t="s">
        <v>16</v>
      </c>
      <c r="D79" s="11">
        <v>1</v>
      </c>
      <c r="E79" s="11">
        <v>11</v>
      </c>
      <c r="F79" s="11">
        <v>902</v>
      </c>
      <c r="G79" s="11">
        <v>80020</v>
      </c>
      <c r="H79" s="21">
        <v>129</v>
      </c>
      <c r="I79" s="20">
        <v>442337.83</v>
      </c>
      <c r="J79" s="20">
        <v>723</v>
      </c>
      <c r="K79" s="20"/>
      <c r="L79" s="20"/>
      <c r="M79" s="20"/>
      <c r="N79" s="20"/>
      <c r="O79" s="20"/>
      <c r="P79" s="20"/>
      <c r="Q79" s="20"/>
      <c r="R79" s="20"/>
      <c r="S79" s="20"/>
      <c r="T79" s="20">
        <f>442337.83+J79</f>
        <v>443060.83</v>
      </c>
      <c r="U79" s="20"/>
      <c r="V79" s="20"/>
      <c r="W79" s="20"/>
      <c r="X79" s="20"/>
      <c r="Y79" s="20">
        <v>458641.31</v>
      </c>
      <c r="Z79" s="20"/>
      <c r="AA79" s="20"/>
      <c r="AB79" s="20"/>
      <c r="AC79" s="20"/>
      <c r="AD79" s="20">
        <v>476225.92</v>
      </c>
    </row>
    <row r="80" spans="1:38" s="44" customFormat="1" ht="39" customHeight="1" x14ac:dyDescent="0.15">
      <c r="A80" s="53" t="s">
        <v>56</v>
      </c>
      <c r="B80" s="49" t="s">
        <v>56</v>
      </c>
      <c r="C80" s="13" t="s">
        <v>16</v>
      </c>
      <c r="D80" s="13">
        <v>1</v>
      </c>
      <c r="E80" s="13">
        <v>11</v>
      </c>
      <c r="F80" s="13">
        <v>902</v>
      </c>
      <c r="G80" s="13">
        <v>80040</v>
      </c>
      <c r="H80" s="18"/>
      <c r="I80" s="15">
        <f>I81+I86+I89</f>
        <v>37074154.670000002</v>
      </c>
      <c r="J80" s="15">
        <f>J81+J86+J89</f>
        <v>-3117</v>
      </c>
      <c r="K80" s="15"/>
      <c r="L80" s="15">
        <f>L81+L86+L89</f>
        <v>-439654.98</v>
      </c>
      <c r="M80" s="15"/>
      <c r="N80" s="15"/>
      <c r="O80" s="15"/>
      <c r="P80" s="15">
        <f>P81+P86+P89</f>
        <v>5000</v>
      </c>
      <c r="Q80" s="15"/>
      <c r="R80" s="15"/>
      <c r="S80" s="15"/>
      <c r="T80" s="15">
        <f>T81+T86+T89</f>
        <v>36636382.690000005</v>
      </c>
      <c r="U80" s="15"/>
      <c r="V80" s="15"/>
      <c r="W80" s="15"/>
      <c r="X80" s="15"/>
      <c r="Y80" s="15">
        <f>Y81+Y86+Y89</f>
        <v>38355295.43</v>
      </c>
      <c r="Z80" s="15"/>
      <c r="AA80" s="15"/>
      <c r="AB80" s="15"/>
      <c r="AC80" s="15"/>
      <c r="AD80" s="15">
        <f>AD81+AD86+AD89</f>
        <v>39695997.329999998</v>
      </c>
      <c r="AF80" s="30"/>
      <c r="AG80" s="30"/>
      <c r="AH80" s="30"/>
      <c r="AI80" s="30"/>
      <c r="AJ80" s="30"/>
      <c r="AK80" s="30"/>
      <c r="AL80" s="30"/>
    </row>
    <row r="81" spans="1:38" ht="83.25" customHeight="1" x14ac:dyDescent="0.25">
      <c r="A81" s="5" t="s">
        <v>22</v>
      </c>
      <c r="B81" s="5" t="s">
        <v>22</v>
      </c>
      <c r="C81" s="11" t="s">
        <v>16</v>
      </c>
      <c r="D81" s="11">
        <v>1</v>
      </c>
      <c r="E81" s="11">
        <v>11</v>
      </c>
      <c r="F81" s="11">
        <v>902</v>
      </c>
      <c r="G81" s="11">
        <v>80040</v>
      </c>
      <c r="H81" s="21" t="s">
        <v>57</v>
      </c>
      <c r="I81" s="20">
        <f>I82</f>
        <v>34599486</v>
      </c>
      <c r="J81" s="20">
        <f>J82</f>
        <v>-3117</v>
      </c>
      <c r="K81" s="20"/>
      <c r="L81" s="20">
        <f>L82</f>
        <v>-339654.98</v>
      </c>
      <c r="M81" s="20"/>
      <c r="N81" s="20"/>
      <c r="O81" s="20"/>
      <c r="P81" s="20"/>
      <c r="Q81" s="20"/>
      <c r="R81" s="20"/>
      <c r="S81" s="20"/>
      <c r="T81" s="20">
        <f>T82</f>
        <v>34256714.020000003</v>
      </c>
      <c r="U81" s="20"/>
      <c r="V81" s="20"/>
      <c r="W81" s="20"/>
      <c r="X81" s="20"/>
      <c r="Y81" s="20">
        <f>Y82</f>
        <v>35842513.009999998</v>
      </c>
      <c r="Z81" s="20"/>
      <c r="AA81" s="20"/>
      <c r="AB81" s="20"/>
      <c r="AC81" s="20"/>
      <c r="AD81" s="20">
        <f>AD82</f>
        <v>37183215.009999998</v>
      </c>
    </row>
    <row r="82" spans="1:38" ht="38.25" customHeight="1" x14ac:dyDescent="0.25">
      <c r="A82" s="5" t="s">
        <v>23</v>
      </c>
      <c r="B82" s="5" t="s">
        <v>23</v>
      </c>
      <c r="C82" s="11" t="s">
        <v>16</v>
      </c>
      <c r="D82" s="11">
        <v>1</v>
      </c>
      <c r="E82" s="11">
        <v>11</v>
      </c>
      <c r="F82" s="11">
        <v>902</v>
      </c>
      <c r="G82" s="11">
        <v>80040</v>
      </c>
      <c r="H82" s="21" t="s">
        <v>58</v>
      </c>
      <c r="I82" s="20">
        <f>I83+I84+I85</f>
        <v>34599486</v>
      </c>
      <c r="J82" s="20">
        <f>J83+J84+J85</f>
        <v>-3117</v>
      </c>
      <c r="K82" s="20"/>
      <c r="L82" s="20">
        <f>L83+L84+L85</f>
        <v>-339654.98</v>
      </c>
      <c r="M82" s="20"/>
      <c r="N82" s="20"/>
      <c r="O82" s="20"/>
      <c r="P82" s="20"/>
      <c r="Q82" s="20"/>
      <c r="R82" s="20"/>
      <c r="S82" s="20"/>
      <c r="T82" s="20">
        <f>T83+T84+T85</f>
        <v>34256714.020000003</v>
      </c>
      <c r="U82" s="20"/>
      <c r="V82" s="20"/>
      <c r="W82" s="20"/>
      <c r="X82" s="20"/>
      <c r="Y82" s="20">
        <f>Y83+Y84+Y85</f>
        <v>35842513.009999998</v>
      </c>
      <c r="Z82" s="20"/>
      <c r="AA82" s="20"/>
      <c r="AB82" s="20"/>
      <c r="AC82" s="20"/>
      <c r="AD82" s="20">
        <f>AD83+AD84+AD85</f>
        <v>37183215.009999998</v>
      </c>
    </row>
    <row r="83" spans="1:38" ht="27" customHeight="1" x14ac:dyDescent="0.25">
      <c r="A83" s="5" t="s">
        <v>44</v>
      </c>
      <c r="B83" s="5" t="s">
        <v>44</v>
      </c>
      <c r="C83" s="11" t="s">
        <v>16</v>
      </c>
      <c r="D83" s="11">
        <v>1</v>
      </c>
      <c r="E83" s="11">
        <v>11</v>
      </c>
      <c r="F83" s="11">
        <v>902</v>
      </c>
      <c r="G83" s="11">
        <v>80040</v>
      </c>
      <c r="H83" s="21">
        <v>121</v>
      </c>
      <c r="I83" s="20">
        <v>24788419.350000001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>
        <v>24788419.350000001</v>
      </c>
      <c r="U83" s="20"/>
      <c r="V83" s="20"/>
      <c r="W83" s="20"/>
      <c r="X83" s="20"/>
      <c r="Y83" s="20">
        <v>25743125.199999999</v>
      </c>
      <c r="Z83" s="20"/>
      <c r="AA83" s="20"/>
      <c r="AB83" s="20"/>
      <c r="AC83" s="20"/>
      <c r="AD83" s="20">
        <v>26772850.239999998</v>
      </c>
    </row>
    <row r="84" spans="1:38" ht="52.5" customHeight="1" x14ac:dyDescent="0.25">
      <c r="A84" s="5" t="s">
        <v>45</v>
      </c>
      <c r="B84" s="5" t="s">
        <v>45</v>
      </c>
      <c r="C84" s="11" t="s">
        <v>16</v>
      </c>
      <c r="D84" s="11">
        <v>1</v>
      </c>
      <c r="E84" s="11">
        <v>11</v>
      </c>
      <c r="F84" s="11">
        <v>902</v>
      </c>
      <c r="G84" s="11">
        <v>80040</v>
      </c>
      <c r="H84" s="21">
        <v>122</v>
      </c>
      <c r="I84" s="20">
        <v>1786800</v>
      </c>
      <c r="J84" s="20">
        <v>-2394</v>
      </c>
      <c r="K84" s="20"/>
      <c r="L84" s="20">
        <v>-238790</v>
      </c>
      <c r="M84" s="20"/>
      <c r="N84" s="20"/>
      <c r="O84" s="20"/>
      <c r="P84" s="20"/>
      <c r="Q84" s="20"/>
      <c r="R84" s="20"/>
      <c r="S84" s="20"/>
      <c r="T84" s="20">
        <f>1786800+J84+L84</f>
        <v>1545616</v>
      </c>
      <c r="U84" s="20"/>
      <c r="V84" s="20"/>
      <c r="W84" s="20"/>
      <c r="X84" s="20"/>
      <c r="Y84" s="20">
        <v>1786800</v>
      </c>
      <c r="Z84" s="20"/>
      <c r="AA84" s="20"/>
      <c r="AB84" s="20"/>
      <c r="AC84" s="20"/>
      <c r="AD84" s="20">
        <v>1786800</v>
      </c>
    </row>
    <row r="85" spans="1:38" ht="67.5" customHeight="1" x14ac:dyDescent="0.25">
      <c r="A85" s="5" t="s">
        <v>25</v>
      </c>
      <c r="B85" s="5" t="s">
        <v>25</v>
      </c>
      <c r="C85" s="11" t="s">
        <v>16</v>
      </c>
      <c r="D85" s="11">
        <v>1</v>
      </c>
      <c r="E85" s="11">
        <v>11</v>
      </c>
      <c r="F85" s="11">
        <v>902</v>
      </c>
      <c r="G85" s="11">
        <v>80040</v>
      </c>
      <c r="H85" s="21">
        <v>129</v>
      </c>
      <c r="I85" s="20">
        <v>8024266.6500000004</v>
      </c>
      <c r="J85" s="20">
        <v>-723</v>
      </c>
      <c r="K85" s="20"/>
      <c r="L85" s="20">
        <v>-100864.98</v>
      </c>
      <c r="M85" s="20"/>
      <c r="N85" s="20"/>
      <c r="O85" s="20"/>
      <c r="P85" s="20"/>
      <c r="Q85" s="20"/>
      <c r="R85" s="20"/>
      <c r="S85" s="20"/>
      <c r="T85" s="20">
        <f>8024266.65+J85+L85</f>
        <v>7922678.6699999999</v>
      </c>
      <c r="U85" s="20"/>
      <c r="V85" s="20"/>
      <c r="W85" s="20"/>
      <c r="X85" s="20"/>
      <c r="Y85" s="20">
        <v>8312587.8099999996</v>
      </c>
      <c r="Z85" s="20"/>
      <c r="AA85" s="20"/>
      <c r="AB85" s="20"/>
      <c r="AC85" s="20"/>
      <c r="AD85" s="20">
        <v>8623564.7699999996</v>
      </c>
    </row>
    <row r="86" spans="1:38" ht="42.75" customHeight="1" x14ac:dyDescent="0.25">
      <c r="A86" s="5" t="s">
        <v>26</v>
      </c>
      <c r="B86" s="5" t="s">
        <v>26</v>
      </c>
      <c r="C86" s="11" t="s">
        <v>16</v>
      </c>
      <c r="D86" s="11">
        <v>1</v>
      </c>
      <c r="E86" s="11">
        <v>11</v>
      </c>
      <c r="F86" s="11">
        <v>902</v>
      </c>
      <c r="G86" s="11">
        <v>80040</v>
      </c>
      <c r="H86" s="21">
        <v>200</v>
      </c>
      <c r="I86" s="20">
        <f t="shared" ref="I86:AD87" si="17">I87</f>
        <v>2364668.67</v>
      </c>
      <c r="J86" s="20"/>
      <c r="K86" s="20"/>
      <c r="L86" s="20">
        <f t="shared" si="17"/>
        <v>-100000</v>
      </c>
      <c r="M86" s="20"/>
      <c r="N86" s="20"/>
      <c r="O86" s="20"/>
      <c r="P86" s="20">
        <f t="shared" si="17"/>
        <v>5000</v>
      </c>
      <c r="Q86" s="20"/>
      <c r="R86" s="20"/>
      <c r="S86" s="20"/>
      <c r="T86" s="20">
        <f t="shared" si="17"/>
        <v>2269668.67</v>
      </c>
      <c r="U86" s="20"/>
      <c r="V86" s="20"/>
      <c r="W86" s="20"/>
      <c r="X86" s="20"/>
      <c r="Y86" s="20">
        <f t="shared" si="17"/>
        <v>2402782.42</v>
      </c>
      <c r="Z86" s="20"/>
      <c r="AA86" s="20"/>
      <c r="AB86" s="20"/>
      <c r="AC86" s="20"/>
      <c r="AD86" s="20">
        <f t="shared" si="17"/>
        <v>2402782.3199999998</v>
      </c>
    </row>
    <row r="87" spans="1:38" ht="38.25" customHeight="1" x14ac:dyDescent="0.25">
      <c r="A87" s="5" t="s">
        <v>28</v>
      </c>
      <c r="B87" s="5" t="s">
        <v>28</v>
      </c>
      <c r="C87" s="11" t="s">
        <v>16</v>
      </c>
      <c r="D87" s="11">
        <v>1</v>
      </c>
      <c r="E87" s="11">
        <v>11</v>
      </c>
      <c r="F87" s="11">
        <v>902</v>
      </c>
      <c r="G87" s="11">
        <v>80040</v>
      </c>
      <c r="H87" s="21">
        <v>240</v>
      </c>
      <c r="I87" s="20">
        <f t="shared" si="17"/>
        <v>2364668.67</v>
      </c>
      <c r="J87" s="20"/>
      <c r="K87" s="20"/>
      <c r="L87" s="20">
        <f t="shared" si="17"/>
        <v>-100000</v>
      </c>
      <c r="M87" s="20"/>
      <c r="N87" s="20"/>
      <c r="O87" s="20"/>
      <c r="P87" s="20">
        <f t="shared" si="17"/>
        <v>5000</v>
      </c>
      <c r="Q87" s="20"/>
      <c r="R87" s="20"/>
      <c r="S87" s="20"/>
      <c r="T87" s="20">
        <f t="shared" si="17"/>
        <v>2269668.67</v>
      </c>
      <c r="U87" s="20"/>
      <c r="V87" s="20"/>
      <c r="W87" s="20"/>
      <c r="X87" s="20"/>
      <c r="Y87" s="20">
        <f t="shared" si="17"/>
        <v>2402782.42</v>
      </c>
      <c r="Z87" s="20"/>
      <c r="AA87" s="20"/>
      <c r="AB87" s="20"/>
      <c r="AC87" s="20"/>
      <c r="AD87" s="20">
        <f t="shared" si="17"/>
        <v>2402782.3199999998</v>
      </c>
    </row>
    <row r="88" spans="1:38" ht="41.25" customHeight="1" x14ac:dyDescent="0.25">
      <c r="A88" s="5" t="s">
        <v>30</v>
      </c>
      <c r="B88" s="5" t="s">
        <v>30</v>
      </c>
      <c r="C88" s="11" t="s">
        <v>16</v>
      </c>
      <c r="D88" s="11">
        <v>1</v>
      </c>
      <c r="E88" s="11">
        <v>11</v>
      </c>
      <c r="F88" s="11">
        <v>902</v>
      </c>
      <c r="G88" s="11">
        <v>80040</v>
      </c>
      <c r="H88" s="21">
        <v>244</v>
      </c>
      <c r="I88" s="20">
        <v>2364668.67</v>
      </c>
      <c r="J88" s="20"/>
      <c r="K88" s="20"/>
      <c r="L88" s="20">
        <v>-100000</v>
      </c>
      <c r="M88" s="20"/>
      <c r="N88" s="20"/>
      <c r="O88" s="20"/>
      <c r="P88" s="20">
        <v>5000</v>
      </c>
      <c r="Q88" s="20"/>
      <c r="R88" s="20"/>
      <c r="S88" s="20"/>
      <c r="T88" s="20">
        <f>2364668.67+L88+P88</f>
        <v>2269668.67</v>
      </c>
      <c r="U88" s="20"/>
      <c r="V88" s="20"/>
      <c r="W88" s="20"/>
      <c r="X88" s="20"/>
      <c r="Y88" s="20">
        <v>2402782.42</v>
      </c>
      <c r="Z88" s="20"/>
      <c r="AA88" s="20"/>
      <c r="AB88" s="20"/>
      <c r="AC88" s="20"/>
      <c r="AD88" s="20">
        <v>2402782.3199999998</v>
      </c>
    </row>
    <row r="89" spans="1:38" ht="12.75" customHeight="1" x14ac:dyDescent="0.25">
      <c r="A89" s="5" t="s">
        <v>59</v>
      </c>
      <c r="B89" s="5" t="s">
        <v>59</v>
      </c>
      <c r="C89" s="11" t="s">
        <v>16</v>
      </c>
      <c r="D89" s="11">
        <v>1</v>
      </c>
      <c r="E89" s="11">
        <v>11</v>
      </c>
      <c r="F89" s="11">
        <v>902</v>
      </c>
      <c r="G89" s="11">
        <v>80040</v>
      </c>
      <c r="H89" s="21">
        <v>800</v>
      </c>
      <c r="I89" s="20">
        <f>I92+I90</f>
        <v>110000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>
        <f>T92+T90</f>
        <v>110000</v>
      </c>
      <c r="U89" s="20"/>
      <c r="V89" s="20"/>
      <c r="W89" s="20"/>
      <c r="X89" s="20"/>
      <c r="Y89" s="20">
        <f>Y92+Y90</f>
        <v>110000</v>
      </c>
      <c r="Z89" s="20"/>
      <c r="AA89" s="20"/>
      <c r="AB89" s="20"/>
      <c r="AC89" s="20"/>
      <c r="AD89" s="20">
        <f>AD92+AD90</f>
        <v>110000</v>
      </c>
    </row>
    <row r="90" spans="1:38" hidden="1" x14ac:dyDescent="0.25">
      <c r="A90" s="5" t="s">
        <v>60</v>
      </c>
      <c r="B90" s="5" t="s">
        <v>60</v>
      </c>
      <c r="C90" s="11" t="s">
        <v>16</v>
      </c>
      <c r="D90" s="11">
        <v>1</v>
      </c>
      <c r="E90" s="11">
        <v>11</v>
      </c>
      <c r="F90" s="11">
        <v>902</v>
      </c>
      <c r="G90" s="11">
        <v>80040</v>
      </c>
      <c r="H90" s="21">
        <v>830</v>
      </c>
      <c r="I90" s="20">
        <f>I91</f>
        <v>0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>
        <f>T91</f>
        <v>0</v>
      </c>
      <c r="U90" s="20"/>
      <c r="V90" s="20"/>
      <c r="W90" s="20"/>
      <c r="X90" s="20"/>
      <c r="Y90" s="20">
        <f>Y91</f>
        <v>0</v>
      </c>
      <c r="Z90" s="20"/>
      <c r="AA90" s="20"/>
      <c r="AB90" s="20"/>
      <c r="AC90" s="20"/>
      <c r="AD90" s="20">
        <f>AD91</f>
        <v>0</v>
      </c>
    </row>
    <row r="91" spans="1:38" ht="123.75" hidden="1" x14ac:dyDescent="0.25">
      <c r="A91" s="5" t="s">
        <v>61</v>
      </c>
      <c r="B91" s="5" t="s">
        <v>61</v>
      </c>
      <c r="C91" s="11" t="s">
        <v>16</v>
      </c>
      <c r="D91" s="11">
        <v>1</v>
      </c>
      <c r="E91" s="11">
        <v>11</v>
      </c>
      <c r="F91" s="11">
        <v>902</v>
      </c>
      <c r="G91" s="11">
        <v>80040</v>
      </c>
      <c r="H91" s="21">
        <v>831</v>
      </c>
      <c r="I91" s="20">
        <v>0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>
        <v>0</v>
      </c>
      <c r="U91" s="20"/>
      <c r="V91" s="20"/>
      <c r="W91" s="20"/>
      <c r="X91" s="20"/>
      <c r="Y91" s="20">
        <v>0</v>
      </c>
      <c r="Z91" s="20"/>
      <c r="AA91" s="20"/>
      <c r="AB91" s="20"/>
      <c r="AC91" s="20"/>
      <c r="AD91" s="20">
        <v>0</v>
      </c>
    </row>
    <row r="92" spans="1:38" ht="15" customHeight="1" x14ac:dyDescent="0.25">
      <c r="A92" s="5" t="s">
        <v>62</v>
      </c>
      <c r="B92" s="5" t="s">
        <v>62</v>
      </c>
      <c r="C92" s="11" t="s">
        <v>16</v>
      </c>
      <c r="D92" s="11">
        <v>1</v>
      </c>
      <c r="E92" s="11">
        <v>11</v>
      </c>
      <c r="F92" s="11">
        <v>902</v>
      </c>
      <c r="G92" s="11">
        <v>80040</v>
      </c>
      <c r="H92" s="21">
        <v>850</v>
      </c>
      <c r="I92" s="20">
        <f>I93</f>
        <v>110000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>
        <f>T93</f>
        <v>110000</v>
      </c>
      <c r="U92" s="20"/>
      <c r="V92" s="20"/>
      <c r="W92" s="20"/>
      <c r="X92" s="20"/>
      <c r="Y92" s="20">
        <f>Y93</f>
        <v>110000</v>
      </c>
      <c r="Z92" s="20"/>
      <c r="AA92" s="20"/>
      <c r="AB92" s="20"/>
      <c r="AC92" s="20"/>
      <c r="AD92" s="20">
        <f>AD93</f>
        <v>110000</v>
      </c>
    </row>
    <row r="93" spans="1:38" ht="14.25" customHeight="1" x14ac:dyDescent="0.25">
      <c r="A93" s="5" t="s">
        <v>63</v>
      </c>
      <c r="B93" s="5" t="s">
        <v>63</v>
      </c>
      <c r="C93" s="11" t="s">
        <v>16</v>
      </c>
      <c r="D93" s="11">
        <v>1</v>
      </c>
      <c r="E93" s="11">
        <v>11</v>
      </c>
      <c r="F93" s="11">
        <v>902</v>
      </c>
      <c r="G93" s="11">
        <v>80040</v>
      </c>
      <c r="H93" s="21">
        <v>853</v>
      </c>
      <c r="I93" s="20">
        <v>110000</v>
      </c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>
        <v>110000</v>
      </c>
      <c r="U93" s="20"/>
      <c r="V93" s="20"/>
      <c r="W93" s="20"/>
      <c r="X93" s="20"/>
      <c r="Y93" s="20">
        <v>110000</v>
      </c>
      <c r="Z93" s="20"/>
      <c r="AA93" s="20"/>
      <c r="AB93" s="20"/>
      <c r="AC93" s="20"/>
      <c r="AD93" s="20">
        <v>110000</v>
      </c>
    </row>
    <row r="94" spans="1:38" s="44" customFormat="1" ht="31.5" x14ac:dyDescent="0.25">
      <c r="A94" s="3" t="s">
        <v>64</v>
      </c>
      <c r="B94" s="3" t="s">
        <v>65</v>
      </c>
      <c r="C94" s="13" t="s">
        <v>16</v>
      </c>
      <c r="D94" s="13">
        <v>1</v>
      </c>
      <c r="E94" s="13">
        <v>11</v>
      </c>
      <c r="F94" s="13">
        <v>902</v>
      </c>
      <c r="G94" s="13">
        <v>80060</v>
      </c>
      <c r="H94" s="14"/>
      <c r="I94" s="15">
        <f>I95</f>
        <v>300000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>
        <f>T95</f>
        <v>300000</v>
      </c>
      <c r="U94" s="15"/>
      <c r="V94" s="15"/>
      <c r="W94" s="15"/>
      <c r="X94" s="15"/>
      <c r="Y94" s="15">
        <f>Y95</f>
        <v>0</v>
      </c>
      <c r="Z94" s="15"/>
      <c r="AA94" s="15"/>
      <c r="AB94" s="15"/>
      <c r="AC94" s="15"/>
      <c r="AD94" s="15">
        <f>AD95</f>
        <v>0</v>
      </c>
      <c r="AF94" s="30"/>
      <c r="AG94" s="30"/>
      <c r="AH94" s="30"/>
      <c r="AI94" s="30"/>
      <c r="AJ94" s="30"/>
      <c r="AK94" s="30"/>
      <c r="AL94" s="30"/>
    </row>
    <row r="95" spans="1:38" x14ac:dyDescent="0.25">
      <c r="A95" s="5"/>
      <c r="B95" s="5" t="s">
        <v>59</v>
      </c>
      <c r="C95" s="11" t="s">
        <v>16</v>
      </c>
      <c r="D95" s="11">
        <v>1</v>
      </c>
      <c r="E95" s="11">
        <v>11</v>
      </c>
      <c r="F95" s="11">
        <v>902</v>
      </c>
      <c r="G95" s="11">
        <v>80060</v>
      </c>
      <c r="H95" s="21">
        <v>800</v>
      </c>
      <c r="I95" s="20">
        <f>I96</f>
        <v>300000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>
        <f>T96</f>
        <v>300000</v>
      </c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8" x14ac:dyDescent="0.25">
      <c r="A96" s="5"/>
      <c r="B96" s="5" t="s">
        <v>66</v>
      </c>
      <c r="C96" s="11" t="s">
        <v>16</v>
      </c>
      <c r="D96" s="11">
        <v>1</v>
      </c>
      <c r="E96" s="11">
        <v>11</v>
      </c>
      <c r="F96" s="11">
        <v>902</v>
      </c>
      <c r="G96" s="11">
        <v>80060</v>
      </c>
      <c r="H96" s="21">
        <v>880</v>
      </c>
      <c r="I96" s="20">
        <v>300000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>
        <v>300000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8" ht="45" customHeight="1" x14ac:dyDescent="0.25">
      <c r="A97" s="3" t="s">
        <v>67</v>
      </c>
      <c r="B97" s="49" t="s">
        <v>67</v>
      </c>
      <c r="C97" s="13" t="s">
        <v>16</v>
      </c>
      <c r="D97" s="13">
        <v>1</v>
      </c>
      <c r="E97" s="13">
        <v>11</v>
      </c>
      <c r="F97" s="13">
        <v>902</v>
      </c>
      <c r="G97" s="13">
        <v>80070</v>
      </c>
      <c r="H97" s="14"/>
      <c r="I97" s="15">
        <f>I98+I101</f>
        <v>1035000</v>
      </c>
      <c r="J97" s="15"/>
      <c r="K97" s="15"/>
      <c r="L97" s="15">
        <f>L98+L101</f>
        <v>95625</v>
      </c>
      <c r="M97" s="15"/>
      <c r="N97" s="15"/>
      <c r="O97" s="15"/>
      <c r="P97" s="15"/>
      <c r="Q97" s="15"/>
      <c r="R97" s="15">
        <f>R98+R101</f>
        <v>46354.11</v>
      </c>
      <c r="S97" s="15"/>
      <c r="T97" s="15">
        <f>T98+T101</f>
        <v>1176979.1100000001</v>
      </c>
      <c r="U97" s="15"/>
      <c r="V97" s="15"/>
      <c r="W97" s="15"/>
      <c r="X97" s="15"/>
      <c r="Y97" s="15">
        <f>Y98+Y101</f>
        <v>1500000</v>
      </c>
      <c r="Z97" s="15"/>
      <c r="AA97" s="15"/>
      <c r="AB97" s="15"/>
      <c r="AC97" s="15"/>
      <c r="AD97" s="15">
        <f>AD98+AD101</f>
        <v>1500000</v>
      </c>
    </row>
    <row r="98" spans="1:38" ht="42.75" customHeight="1" x14ac:dyDescent="0.25">
      <c r="A98" s="5" t="s">
        <v>26</v>
      </c>
      <c r="B98" s="5" t="s">
        <v>26</v>
      </c>
      <c r="C98" s="11" t="s">
        <v>16</v>
      </c>
      <c r="D98" s="11">
        <v>1</v>
      </c>
      <c r="E98" s="11">
        <v>11</v>
      </c>
      <c r="F98" s="11">
        <v>902</v>
      </c>
      <c r="G98" s="11">
        <v>80070</v>
      </c>
      <c r="H98" s="21">
        <v>200</v>
      </c>
      <c r="I98" s="20">
        <f t="shared" ref="I98:AD99" si="18">I99</f>
        <v>1035000</v>
      </c>
      <c r="J98" s="20"/>
      <c r="K98" s="20"/>
      <c r="L98" s="20">
        <f t="shared" si="18"/>
        <v>95625</v>
      </c>
      <c r="M98" s="20"/>
      <c r="N98" s="20"/>
      <c r="O98" s="20"/>
      <c r="P98" s="20"/>
      <c r="Q98" s="20"/>
      <c r="R98" s="20">
        <f t="shared" si="18"/>
        <v>46354.11</v>
      </c>
      <c r="S98" s="20"/>
      <c r="T98" s="20">
        <f t="shared" si="18"/>
        <v>1176979.1100000001</v>
      </c>
      <c r="U98" s="20"/>
      <c r="V98" s="20"/>
      <c r="W98" s="20"/>
      <c r="X98" s="20"/>
      <c r="Y98" s="20">
        <f t="shared" si="18"/>
        <v>1500000</v>
      </c>
      <c r="Z98" s="20"/>
      <c r="AA98" s="20"/>
      <c r="AB98" s="20"/>
      <c r="AC98" s="20"/>
      <c r="AD98" s="20">
        <f t="shared" si="18"/>
        <v>1500000</v>
      </c>
    </row>
    <row r="99" spans="1:38" ht="45.75" customHeight="1" x14ac:dyDescent="0.25">
      <c r="A99" s="5" t="s">
        <v>28</v>
      </c>
      <c r="B99" s="5" t="s">
        <v>28</v>
      </c>
      <c r="C99" s="11" t="s">
        <v>16</v>
      </c>
      <c r="D99" s="11">
        <v>1</v>
      </c>
      <c r="E99" s="11">
        <v>11</v>
      </c>
      <c r="F99" s="11">
        <v>902</v>
      </c>
      <c r="G99" s="11">
        <v>80070</v>
      </c>
      <c r="H99" s="21">
        <v>240</v>
      </c>
      <c r="I99" s="20">
        <f t="shared" si="18"/>
        <v>1035000</v>
      </c>
      <c r="J99" s="20"/>
      <c r="K99" s="20"/>
      <c r="L99" s="20">
        <f t="shared" si="18"/>
        <v>95625</v>
      </c>
      <c r="M99" s="20"/>
      <c r="N99" s="20"/>
      <c r="O99" s="20"/>
      <c r="P99" s="20"/>
      <c r="Q99" s="20"/>
      <c r="R99" s="20">
        <f t="shared" si="18"/>
        <v>46354.11</v>
      </c>
      <c r="S99" s="20"/>
      <c r="T99" s="20">
        <f t="shared" si="18"/>
        <v>1176979.1100000001</v>
      </c>
      <c r="U99" s="20"/>
      <c r="V99" s="20"/>
      <c r="W99" s="20"/>
      <c r="X99" s="20"/>
      <c r="Y99" s="20">
        <f t="shared" si="18"/>
        <v>1500000</v>
      </c>
      <c r="Z99" s="20"/>
      <c r="AA99" s="20"/>
      <c r="AB99" s="20"/>
      <c r="AC99" s="20"/>
      <c r="AD99" s="20">
        <f t="shared" si="18"/>
        <v>1500000</v>
      </c>
    </row>
    <row r="100" spans="1:38" ht="44.25" customHeight="1" x14ac:dyDescent="0.25">
      <c r="A100" s="5" t="s">
        <v>30</v>
      </c>
      <c r="B100" s="5" t="s">
        <v>30</v>
      </c>
      <c r="C100" s="11" t="s">
        <v>16</v>
      </c>
      <c r="D100" s="11">
        <v>1</v>
      </c>
      <c r="E100" s="11">
        <v>11</v>
      </c>
      <c r="F100" s="11">
        <v>902</v>
      </c>
      <c r="G100" s="11">
        <v>80070</v>
      </c>
      <c r="H100" s="21">
        <v>244</v>
      </c>
      <c r="I100" s="20">
        <v>1035000</v>
      </c>
      <c r="J100" s="20"/>
      <c r="K100" s="20"/>
      <c r="L100" s="20">
        <v>95625</v>
      </c>
      <c r="M100" s="20"/>
      <c r="N100" s="20"/>
      <c r="O100" s="20"/>
      <c r="P100" s="20"/>
      <c r="Q100" s="20"/>
      <c r="R100" s="20">
        <v>46354.11</v>
      </c>
      <c r="S100" s="20"/>
      <c r="T100" s="20">
        <f>1035000+L100+R100</f>
        <v>1176979.1100000001</v>
      </c>
      <c r="U100" s="20"/>
      <c r="V100" s="20"/>
      <c r="W100" s="20"/>
      <c r="X100" s="20"/>
      <c r="Y100" s="20">
        <v>1500000</v>
      </c>
      <c r="Z100" s="20"/>
      <c r="AA100" s="20"/>
      <c r="AB100" s="20"/>
      <c r="AC100" s="20"/>
      <c r="AD100" s="20">
        <v>1500000</v>
      </c>
    </row>
    <row r="101" spans="1:38" ht="17.25" hidden="1" customHeight="1" x14ac:dyDescent="0.25">
      <c r="A101" s="5"/>
      <c r="B101" s="5" t="s">
        <v>59</v>
      </c>
      <c r="C101" s="11" t="s">
        <v>16</v>
      </c>
      <c r="D101" s="11">
        <v>1</v>
      </c>
      <c r="E101" s="11">
        <v>11</v>
      </c>
      <c r="F101" s="11">
        <v>902</v>
      </c>
      <c r="G101" s="11">
        <v>80070</v>
      </c>
      <c r="H101" s="21">
        <v>800</v>
      </c>
      <c r="I101" s="20">
        <f>I102</f>
        <v>0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>
        <f>T102</f>
        <v>0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8" ht="17.25" hidden="1" customHeight="1" x14ac:dyDescent="0.25">
      <c r="A102" s="5"/>
      <c r="B102" s="5" t="s">
        <v>60</v>
      </c>
      <c r="C102" s="11" t="s">
        <v>16</v>
      </c>
      <c r="D102" s="11">
        <v>1</v>
      </c>
      <c r="E102" s="11">
        <v>11</v>
      </c>
      <c r="F102" s="11">
        <v>902</v>
      </c>
      <c r="G102" s="11">
        <v>80070</v>
      </c>
      <c r="H102" s="21">
        <v>830</v>
      </c>
      <c r="I102" s="20">
        <f>I103</f>
        <v>0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>
        <f>T103</f>
        <v>0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8" ht="148.5" hidden="1" customHeight="1" x14ac:dyDescent="0.25">
      <c r="A103" s="5"/>
      <c r="B103" s="5" t="s">
        <v>61</v>
      </c>
      <c r="C103" s="11" t="s">
        <v>16</v>
      </c>
      <c r="D103" s="11">
        <v>1</v>
      </c>
      <c r="E103" s="11">
        <v>11</v>
      </c>
      <c r="F103" s="11">
        <v>902</v>
      </c>
      <c r="G103" s="11">
        <v>80070</v>
      </c>
      <c r="H103" s="21">
        <v>831</v>
      </c>
      <c r="I103" s="20">
        <v>0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>
        <v>0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8" s="44" customFormat="1" ht="21" hidden="1" x14ac:dyDescent="0.25">
      <c r="A104" s="3" t="s">
        <v>68</v>
      </c>
      <c r="B104" s="3" t="s">
        <v>69</v>
      </c>
      <c r="C104" s="13" t="s">
        <v>16</v>
      </c>
      <c r="D104" s="13">
        <v>1</v>
      </c>
      <c r="E104" s="13">
        <v>11</v>
      </c>
      <c r="F104" s="13">
        <v>902</v>
      </c>
      <c r="G104" s="13">
        <v>80310</v>
      </c>
      <c r="H104" s="14"/>
      <c r="I104" s="15">
        <f>I106</f>
        <v>0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>
        <f>T106</f>
        <v>0</v>
      </c>
      <c r="U104" s="15"/>
      <c r="V104" s="15"/>
      <c r="W104" s="15"/>
      <c r="X104" s="15"/>
      <c r="Y104" s="15">
        <f t="shared" ref="Y104:AH104" si="19">Y106</f>
        <v>0</v>
      </c>
      <c r="Z104" s="15"/>
      <c r="AA104" s="15"/>
      <c r="AB104" s="15"/>
      <c r="AC104" s="15"/>
      <c r="AD104" s="15">
        <f t="shared" si="19"/>
        <v>0</v>
      </c>
      <c r="AE104" s="15">
        <f t="shared" si="19"/>
        <v>0</v>
      </c>
      <c r="AF104" s="15">
        <f t="shared" si="19"/>
        <v>0</v>
      </c>
      <c r="AG104" s="15">
        <f t="shared" si="19"/>
        <v>0</v>
      </c>
      <c r="AH104" s="15">
        <f t="shared" si="19"/>
        <v>0</v>
      </c>
      <c r="AI104" s="30"/>
      <c r="AJ104" s="30"/>
      <c r="AK104" s="30"/>
      <c r="AL104" s="30"/>
    </row>
    <row r="105" spans="1:38" s="44" customFormat="1" ht="33.75" hidden="1" x14ac:dyDescent="0.25">
      <c r="A105" s="3"/>
      <c r="B105" s="5" t="s">
        <v>70</v>
      </c>
      <c r="C105" s="11" t="s">
        <v>16</v>
      </c>
      <c r="D105" s="11">
        <v>1</v>
      </c>
      <c r="E105" s="11">
        <v>11</v>
      </c>
      <c r="F105" s="11">
        <v>902</v>
      </c>
      <c r="G105" s="11">
        <v>80310</v>
      </c>
      <c r="H105" s="21">
        <v>400</v>
      </c>
      <c r="I105" s="15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F105" s="30"/>
      <c r="AG105" s="30"/>
      <c r="AH105" s="30"/>
      <c r="AI105" s="30"/>
      <c r="AJ105" s="30"/>
      <c r="AK105" s="30"/>
      <c r="AL105" s="30"/>
    </row>
    <row r="106" spans="1:38" hidden="1" x14ac:dyDescent="0.25">
      <c r="A106" s="5" t="s">
        <v>59</v>
      </c>
      <c r="B106" s="5" t="s">
        <v>71</v>
      </c>
      <c r="C106" s="11" t="s">
        <v>16</v>
      </c>
      <c r="D106" s="11">
        <v>1</v>
      </c>
      <c r="E106" s="11">
        <v>11</v>
      </c>
      <c r="F106" s="11">
        <v>902</v>
      </c>
      <c r="G106" s="11">
        <v>80310</v>
      </c>
      <c r="H106" s="21">
        <v>410</v>
      </c>
      <c r="I106" s="20">
        <f>I107</f>
        <v>0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>
        <f>T107</f>
        <v>0</v>
      </c>
      <c r="U106" s="20"/>
      <c r="V106" s="20"/>
      <c r="W106" s="20"/>
      <c r="X106" s="20"/>
      <c r="Y106" s="20">
        <f>Y107</f>
        <v>0</v>
      </c>
      <c r="Z106" s="20"/>
      <c r="AA106" s="20"/>
      <c r="AB106" s="20"/>
      <c r="AC106" s="20"/>
      <c r="AD106" s="20">
        <f>AD107</f>
        <v>0</v>
      </c>
    </row>
    <row r="107" spans="1:38" ht="56.25" hidden="1" x14ac:dyDescent="0.25">
      <c r="A107" s="5" t="s">
        <v>66</v>
      </c>
      <c r="B107" s="5" t="s">
        <v>72</v>
      </c>
      <c r="C107" s="11" t="s">
        <v>16</v>
      </c>
      <c r="D107" s="11">
        <v>1</v>
      </c>
      <c r="E107" s="11">
        <v>11</v>
      </c>
      <c r="F107" s="11">
        <v>902</v>
      </c>
      <c r="G107" s="11">
        <v>80310</v>
      </c>
      <c r="H107" s="21">
        <v>414</v>
      </c>
      <c r="I107" s="20">
        <v>0</v>
      </c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>
        <v>0</v>
      </c>
      <c r="U107" s="20"/>
      <c r="V107" s="20"/>
      <c r="W107" s="20"/>
      <c r="X107" s="20"/>
      <c r="Y107" s="20">
        <v>0</v>
      </c>
      <c r="Z107" s="20"/>
      <c r="AA107" s="20"/>
      <c r="AB107" s="20"/>
      <c r="AC107" s="20"/>
      <c r="AD107" s="20">
        <v>0</v>
      </c>
    </row>
    <row r="108" spans="1:38" x14ac:dyDescent="0.25">
      <c r="A108" s="5"/>
      <c r="B108" s="49" t="s">
        <v>73</v>
      </c>
      <c r="C108" s="13" t="s">
        <v>16</v>
      </c>
      <c r="D108" s="13">
        <v>1</v>
      </c>
      <c r="E108" s="13">
        <v>11</v>
      </c>
      <c r="F108" s="13">
        <v>902</v>
      </c>
      <c r="G108" s="13">
        <v>80320</v>
      </c>
      <c r="H108" s="14"/>
      <c r="I108" s="15">
        <f t="shared" ref="I108:AD110" si="20">I109</f>
        <v>23937784.239999998</v>
      </c>
      <c r="J108" s="15"/>
      <c r="K108" s="15"/>
      <c r="L108" s="15"/>
      <c r="M108" s="15"/>
      <c r="N108" s="15"/>
      <c r="O108" s="15">
        <f t="shared" si="20"/>
        <v>0</v>
      </c>
      <c r="P108" s="15"/>
      <c r="Q108" s="15"/>
      <c r="R108" s="15"/>
      <c r="S108" s="15"/>
      <c r="T108" s="15">
        <f t="shared" si="20"/>
        <v>23937784.239999998</v>
      </c>
      <c r="U108" s="15"/>
      <c r="V108" s="15"/>
      <c r="W108" s="15"/>
      <c r="X108" s="15"/>
      <c r="Y108" s="15">
        <f t="shared" si="20"/>
        <v>25770240.149999999</v>
      </c>
      <c r="Z108" s="15"/>
      <c r="AA108" s="15"/>
      <c r="AB108" s="15"/>
      <c r="AC108" s="15"/>
      <c r="AD108" s="15">
        <f t="shared" si="20"/>
        <v>26370481.77</v>
      </c>
    </row>
    <row r="109" spans="1:38" ht="27" customHeight="1" x14ac:dyDescent="0.25">
      <c r="A109" s="5"/>
      <c r="B109" s="5" t="s">
        <v>34</v>
      </c>
      <c r="C109" s="11" t="s">
        <v>16</v>
      </c>
      <c r="D109" s="11">
        <v>1</v>
      </c>
      <c r="E109" s="11">
        <v>11</v>
      </c>
      <c r="F109" s="11">
        <v>902</v>
      </c>
      <c r="G109" s="11">
        <v>80320</v>
      </c>
      <c r="H109" s="21">
        <v>600</v>
      </c>
      <c r="I109" s="20">
        <f t="shared" si="20"/>
        <v>23937784.239999998</v>
      </c>
      <c r="J109" s="20"/>
      <c r="K109" s="20"/>
      <c r="L109" s="20"/>
      <c r="M109" s="20"/>
      <c r="N109" s="20"/>
      <c r="O109" s="20">
        <f t="shared" si="20"/>
        <v>0</v>
      </c>
      <c r="P109" s="20"/>
      <c r="Q109" s="20"/>
      <c r="R109" s="20"/>
      <c r="S109" s="20"/>
      <c r="T109" s="20">
        <f t="shared" si="20"/>
        <v>23937784.239999998</v>
      </c>
      <c r="U109" s="20"/>
      <c r="V109" s="20"/>
      <c r="W109" s="20"/>
      <c r="X109" s="20"/>
      <c r="Y109" s="20">
        <f t="shared" si="20"/>
        <v>25770240.149999999</v>
      </c>
      <c r="Z109" s="20"/>
      <c r="AA109" s="20"/>
      <c r="AB109" s="20"/>
      <c r="AC109" s="20"/>
      <c r="AD109" s="20">
        <f t="shared" si="20"/>
        <v>26370481.77</v>
      </c>
    </row>
    <row r="110" spans="1:38" x14ac:dyDescent="0.25">
      <c r="A110" s="5"/>
      <c r="B110" s="5" t="s">
        <v>36</v>
      </c>
      <c r="C110" s="11" t="s">
        <v>16</v>
      </c>
      <c r="D110" s="11">
        <v>1</v>
      </c>
      <c r="E110" s="11">
        <v>11</v>
      </c>
      <c r="F110" s="11">
        <v>902</v>
      </c>
      <c r="G110" s="11">
        <v>80320</v>
      </c>
      <c r="H110" s="21">
        <v>610</v>
      </c>
      <c r="I110" s="20">
        <f t="shared" si="20"/>
        <v>23937784.239999998</v>
      </c>
      <c r="J110" s="20"/>
      <c r="K110" s="20"/>
      <c r="L110" s="20"/>
      <c r="M110" s="20"/>
      <c r="N110" s="20"/>
      <c r="O110" s="20">
        <f t="shared" si="20"/>
        <v>0</v>
      </c>
      <c r="P110" s="20"/>
      <c r="Q110" s="20"/>
      <c r="R110" s="20"/>
      <c r="S110" s="20"/>
      <c r="T110" s="20">
        <f t="shared" si="20"/>
        <v>23937784.239999998</v>
      </c>
      <c r="U110" s="20"/>
      <c r="V110" s="20"/>
      <c r="W110" s="20"/>
      <c r="X110" s="20"/>
      <c r="Y110" s="20">
        <f t="shared" si="20"/>
        <v>25770240.149999999</v>
      </c>
      <c r="Z110" s="20"/>
      <c r="AA110" s="20"/>
      <c r="AB110" s="20"/>
      <c r="AC110" s="20"/>
      <c r="AD110" s="20">
        <f t="shared" si="20"/>
        <v>26370481.77</v>
      </c>
    </row>
    <row r="111" spans="1:38" ht="50.25" customHeight="1" x14ac:dyDescent="0.25">
      <c r="A111" s="5"/>
      <c r="B111" s="5" t="s">
        <v>37</v>
      </c>
      <c r="C111" s="11" t="s">
        <v>16</v>
      </c>
      <c r="D111" s="11">
        <v>1</v>
      </c>
      <c r="E111" s="11">
        <v>11</v>
      </c>
      <c r="F111" s="11">
        <v>902</v>
      </c>
      <c r="G111" s="11">
        <v>80320</v>
      </c>
      <c r="H111" s="21">
        <v>611</v>
      </c>
      <c r="I111" s="20">
        <v>23937784.239999998</v>
      </c>
      <c r="J111" s="20"/>
      <c r="K111" s="20"/>
      <c r="L111" s="20"/>
      <c r="M111" s="20"/>
      <c r="N111" s="20"/>
      <c r="O111" s="20">
        <v>0</v>
      </c>
      <c r="P111" s="20"/>
      <c r="Q111" s="20"/>
      <c r="R111" s="20"/>
      <c r="S111" s="20"/>
      <c r="T111" s="20">
        <f>23937784.24+O111</f>
        <v>23937784.239999998</v>
      </c>
      <c r="U111" s="20"/>
      <c r="V111" s="20"/>
      <c r="W111" s="20"/>
      <c r="X111" s="20"/>
      <c r="Y111" s="20">
        <v>25770240.149999999</v>
      </c>
      <c r="Z111" s="20"/>
      <c r="AA111" s="20"/>
      <c r="AB111" s="20"/>
      <c r="AC111" s="20"/>
      <c r="AD111" s="20">
        <v>26370481.77</v>
      </c>
    </row>
    <row r="112" spans="1:38" s="44" customFormat="1" ht="25.5" customHeight="1" x14ac:dyDescent="0.25">
      <c r="A112" s="3" t="s">
        <v>74</v>
      </c>
      <c r="B112" s="3" t="s">
        <v>74</v>
      </c>
      <c r="C112" s="13" t="s">
        <v>16</v>
      </c>
      <c r="D112" s="13">
        <v>1</v>
      </c>
      <c r="E112" s="13">
        <v>11</v>
      </c>
      <c r="F112" s="13">
        <v>902</v>
      </c>
      <c r="G112" s="13">
        <v>80450</v>
      </c>
      <c r="H112" s="18" t="s">
        <v>33</v>
      </c>
      <c r="I112" s="15">
        <f t="shared" ref="I112:AD114" si="21">I113</f>
        <v>12095938.050000001</v>
      </c>
      <c r="J112" s="22"/>
      <c r="K112" s="22"/>
      <c r="L112" s="22"/>
      <c r="M112" s="22"/>
      <c r="N112" s="22"/>
      <c r="O112" s="15">
        <f t="shared" si="21"/>
        <v>0</v>
      </c>
      <c r="P112" s="15"/>
      <c r="Q112" s="15"/>
      <c r="R112" s="15"/>
      <c r="S112" s="15"/>
      <c r="T112" s="15">
        <f t="shared" si="21"/>
        <v>12095938.050000001</v>
      </c>
      <c r="U112" s="15"/>
      <c r="V112" s="15"/>
      <c r="W112" s="15"/>
      <c r="X112" s="15"/>
      <c r="Y112" s="15">
        <f t="shared" si="21"/>
        <v>12667706.359999999</v>
      </c>
      <c r="Z112" s="15"/>
      <c r="AA112" s="15"/>
      <c r="AB112" s="15"/>
      <c r="AC112" s="15"/>
      <c r="AD112" s="15">
        <f t="shared" si="21"/>
        <v>13487990.4</v>
      </c>
      <c r="AF112" s="30"/>
      <c r="AG112" s="30"/>
      <c r="AH112" s="30"/>
      <c r="AI112" s="30"/>
      <c r="AJ112" s="30"/>
      <c r="AK112" s="30"/>
      <c r="AL112" s="30"/>
    </row>
    <row r="113" spans="1:39" ht="30.75" customHeight="1" x14ac:dyDescent="0.25">
      <c r="A113" s="5" t="s">
        <v>34</v>
      </c>
      <c r="B113" s="5" t="s">
        <v>34</v>
      </c>
      <c r="C113" s="11" t="s">
        <v>16</v>
      </c>
      <c r="D113" s="11">
        <v>1</v>
      </c>
      <c r="E113" s="11">
        <v>11</v>
      </c>
      <c r="F113" s="11">
        <v>902</v>
      </c>
      <c r="G113" s="11">
        <v>80450</v>
      </c>
      <c r="H113" s="21" t="s">
        <v>35</v>
      </c>
      <c r="I113" s="20">
        <f t="shared" si="21"/>
        <v>12095938.050000001</v>
      </c>
      <c r="J113" s="20"/>
      <c r="K113" s="20"/>
      <c r="L113" s="20"/>
      <c r="M113" s="20"/>
      <c r="N113" s="20"/>
      <c r="O113" s="20">
        <f t="shared" si="21"/>
        <v>0</v>
      </c>
      <c r="P113" s="20"/>
      <c r="Q113" s="20"/>
      <c r="R113" s="20"/>
      <c r="S113" s="20"/>
      <c r="T113" s="20">
        <f t="shared" si="21"/>
        <v>12095938.050000001</v>
      </c>
      <c r="U113" s="20"/>
      <c r="V113" s="20"/>
      <c r="W113" s="20"/>
      <c r="X113" s="20"/>
      <c r="Y113" s="20">
        <f t="shared" si="21"/>
        <v>12667706.359999999</v>
      </c>
      <c r="Z113" s="20"/>
      <c r="AA113" s="20"/>
      <c r="AB113" s="20"/>
      <c r="AC113" s="20"/>
      <c r="AD113" s="20">
        <f t="shared" si="21"/>
        <v>13487990.4</v>
      </c>
    </row>
    <row r="114" spans="1:39" ht="26.25" customHeight="1" x14ac:dyDescent="0.25">
      <c r="A114" s="5" t="s">
        <v>36</v>
      </c>
      <c r="B114" s="5" t="s">
        <v>36</v>
      </c>
      <c r="C114" s="11" t="s">
        <v>16</v>
      </c>
      <c r="D114" s="11">
        <v>1</v>
      </c>
      <c r="E114" s="11">
        <v>11</v>
      </c>
      <c r="F114" s="11">
        <v>902</v>
      </c>
      <c r="G114" s="11">
        <v>80450</v>
      </c>
      <c r="H114" s="21">
        <v>610</v>
      </c>
      <c r="I114" s="20">
        <f t="shared" si="21"/>
        <v>12095938.050000001</v>
      </c>
      <c r="J114" s="20"/>
      <c r="K114" s="20"/>
      <c r="L114" s="20"/>
      <c r="M114" s="20"/>
      <c r="N114" s="20"/>
      <c r="O114" s="20">
        <f t="shared" si="21"/>
        <v>0</v>
      </c>
      <c r="P114" s="20"/>
      <c r="Q114" s="20"/>
      <c r="R114" s="20"/>
      <c r="S114" s="20"/>
      <c r="T114" s="20">
        <f t="shared" si="21"/>
        <v>12095938.050000001</v>
      </c>
      <c r="U114" s="20"/>
      <c r="V114" s="20"/>
      <c r="W114" s="20"/>
      <c r="X114" s="20"/>
      <c r="Y114" s="20">
        <f t="shared" si="21"/>
        <v>12667706.359999999</v>
      </c>
      <c r="Z114" s="20"/>
      <c r="AA114" s="20"/>
      <c r="AB114" s="20"/>
      <c r="AC114" s="20"/>
      <c r="AD114" s="20">
        <f t="shared" si="21"/>
        <v>13487990.4</v>
      </c>
    </row>
    <row r="115" spans="1:39" ht="51.75" customHeight="1" x14ac:dyDescent="0.25">
      <c r="A115" s="5" t="s">
        <v>37</v>
      </c>
      <c r="B115" s="5" t="s">
        <v>37</v>
      </c>
      <c r="C115" s="11" t="s">
        <v>16</v>
      </c>
      <c r="D115" s="11">
        <v>1</v>
      </c>
      <c r="E115" s="11">
        <v>11</v>
      </c>
      <c r="F115" s="11">
        <v>902</v>
      </c>
      <c r="G115" s="11">
        <v>80450</v>
      </c>
      <c r="H115" s="21" t="s">
        <v>38</v>
      </c>
      <c r="I115" s="20">
        <v>12095938.050000001</v>
      </c>
      <c r="J115" s="20"/>
      <c r="K115" s="20"/>
      <c r="L115" s="20"/>
      <c r="M115" s="20"/>
      <c r="N115" s="20"/>
      <c r="O115" s="20">
        <v>0</v>
      </c>
      <c r="P115" s="20"/>
      <c r="Q115" s="20"/>
      <c r="R115" s="20"/>
      <c r="S115" s="20"/>
      <c r="T115" s="20">
        <f>12095938.05+O115</f>
        <v>12095938.050000001</v>
      </c>
      <c r="U115" s="20"/>
      <c r="V115" s="20"/>
      <c r="W115" s="20"/>
      <c r="X115" s="20"/>
      <c r="Y115" s="20">
        <v>12667706.359999999</v>
      </c>
      <c r="Z115" s="20"/>
      <c r="AA115" s="20"/>
      <c r="AB115" s="20"/>
      <c r="AC115" s="20"/>
      <c r="AD115" s="20">
        <v>13487990.4</v>
      </c>
    </row>
    <row r="116" spans="1:39" s="44" customFormat="1" ht="34.5" customHeight="1" x14ac:dyDescent="0.15">
      <c r="A116" s="53" t="s">
        <v>75</v>
      </c>
      <c r="B116" s="49" t="s">
        <v>76</v>
      </c>
      <c r="C116" s="13" t="s">
        <v>16</v>
      </c>
      <c r="D116" s="13">
        <v>1</v>
      </c>
      <c r="E116" s="13">
        <v>11</v>
      </c>
      <c r="F116" s="13">
        <v>902</v>
      </c>
      <c r="G116" s="13">
        <v>80480</v>
      </c>
      <c r="H116" s="18" t="s">
        <v>33</v>
      </c>
      <c r="I116" s="15">
        <f t="shared" ref="I116:AD118" si="22">I117</f>
        <v>14707200.380000001</v>
      </c>
      <c r="J116" s="15">
        <f t="shared" si="22"/>
        <v>173266</v>
      </c>
      <c r="K116" s="15"/>
      <c r="L116" s="15">
        <f t="shared" si="22"/>
        <v>-149000</v>
      </c>
      <c r="M116" s="15"/>
      <c r="N116" s="15"/>
      <c r="O116" s="15">
        <f t="shared" si="22"/>
        <v>0</v>
      </c>
      <c r="P116" s="15"/>
      <c r="Q116" s="15"/>
      <c r="R116" s="15"/>
      <c r="S116" s="15"/>
      <c r="T116" s="15">
        <f t="shared" si="22"/>
        <v>14751466.380000001</v>
      </c>
      <c r="U116" s="15"/>
      <c r="V116" s="15"/>
      <c r="W116" s="15"/>
      <c r="X116" s="15"/>
      <c r="Y116" s="15">
        <f t="shared" si="22"/>
        <v>14995890.390000001</v>
      </c>
      <c r="Z116" s="15"/>
      <c r="AA116" s="15"/>
      <c r="AB116" s="15"/>
      <c r="AC116" s="15"/>
      <c r="AD116" s="15">
        <f t="shared" si="22"/>
        <v>15092702.609999999</v>
      </c>
      <c r="AF116" s="30"/>
      <c r="AG116" s="30"/>
      <c r="AH116" s="30"/>
      <c r="AI116" s="30"/>
      <c r="AJ116" s="30"/>
      <c r="AK116" s="30"/>
      <c r="AL116" s="30"/>
    </row>
    <row r="117" spans="1:39" ht="30" customHeight="1" x14ac:dyDescent="0.25">
      <c r="A117" s="5" t="s">
        <v>34</v>
      </c>
      <c r="B117" s="5" t="s">
        <v>34</v>
      </c>
      <c r="C117" s="11" t="s">
        <v>16</v>
      </c>
      <c r="D117" s="11">
        <v>1</v>
      </c>
      <c r="E117" s="11">
        <v>11</v>
      </c>
      <c r="F117" s="11">
        <v>902</v>
      </c>
      <c r="G117" s="11">
        <v>80480</v>
      </c>
      <c r="H117" s="21" t="s">
        <v>35</v>
      </c>
      <c r="I117" s="20">
        <f t="shared" si="22"/>
        <v>14707200.380000001</v>
      </c>
      <c r="J117" s="20">
        <f t="shared" si="22"/>
        <v>173266</v>
      </c>
      <c r="K117" s="20"/>
      <c r="L117" s="20">
        <f t="shared" si="22"/>
        <v>-149000</v>
      </c>
      <c r="M117" s="20"/>
      <c r="N117" s="20"/>
      <c r="O117" s="20">
        <f t="shared" si="22"/>
        <v>0</v>
      </c>
      <c r="P117" s="20"/>
      <c r="Q117" s="20"/>
      <c r="R117" s="20"/>
      <c r="S117" s="20"/>
      <c r="T117" s="20">
        <f t="shared" si="22"/>
        <v>14751466.380000001</v>
      </c>
      <c r="U117" s="20"/>
      <c r="V117" s="20"/>
      <c r="W117" s="20"/>
      <c r="X117" s="20"/>
      <c r="Y117" s="20">
        <f t="shared" si="22"/>
        <v>14995890.390000001</v>
      </c>
      <c r="Z117" s="20"/>
      <c r="AA117" s="20"/>
      <c r="AB117" s="20"/>
      <c r="AC117" s="20"/>
      <c r="AD117" s="20">
        <f t="shared" si="22"/>
        <v>15092702.609999999</v>
      </c>
    </row>
    <row r="118" spans="1:39" ht="21" customHeight="1" x14ac:dyDescent="0.25">
      <c r="A118" s="5" t="s">
        <v>36</v>
      </c>
      <c r="B118" s="5" t="s">
        <v>36</v>
      </c>
      <c r="C118" s="11" t="s">
        <v>16</v>
      </c>
      <c r="D118" s="11">
        <v>1</v>
      </c>
      <c r="E118" s="11">
        <v>11</v>
      </c>
      <c r="F118" s="11">
        <v>902</v>
      </c>
      <c r="G118" s="11">
        <v>80480</v>
      </c>
      <c r="H118" s="21">
        <v>610</v>
      </c>
      <c r="I118" s="20">
        <f t="shared" si="22"/>
        <v>14707200.380000001</v>
      </c>
      <c r="J118" s="20">
        <f t="shared" si="22"/>
        <v>173266</v>
      </c>
      <c r="K118" s="20"/>
      <c r="L118" s="20">
        <f t="shared" si="22"/>
        <v>-149000</v>
      </c>
      <c r="M118" s="20"/>
      <c r="N118" s="20"/>
      <c r="O118" s="20">
        <f t="shared" si="22"/>
        <v>0</v>
      </c>
      <c r="P118" s="20"/>
      <c r="Q118" s="20"/>
      <c r="R118" s="20"/>
      <c r="S118" s="20"/>
      <c r="T118" s="20">
        <f t="shared" si="22"/>
        <v>14751466.380000001</v>
      </c>
      <c r="U118" s="20"/>
      <c r="V118" s="20"/>
      <c r="W118" s="20"/>
      <c r="X118" s="20"/>
      <c r="Y118" s="20">
        <f t="shared" si="22"/>
        <v>14995890.390000001</v>
      </c>
      <c r="Z118" s="20"/>
      <c r="AA118" s="20"/>
      <c r="AB118" s="20"/>
      <c r="AC118" s="20"/>
      <c r="AD118" s="20">
        <f t="shared" si="22"/>
        <v>15092702.609999999</v>
      </c>
    </row>
    <row r="119" spans="1:39" ht="56.25" customHeight="1" x14ac:dyDescent="0.25">
      <c r="A119" s="5" t="s">
        <v>37</v>
      </c>
      <c r="B119" s="5" t="s">
        <v>37</v>
      </c>
      <c r="C119" s="11" t="s">
        <v>16</v>
      </c>
      <c r="D119" s="11">
        <v>1</v>
      </c>
      <c r="E119" s="11">
        <v>11</v>
      </c>
      <c r="F119" s="11">
        <v>902</v>
      </c>
      <c r="G119" s="11">
        <v>80480</v>
      </c>
      <c r="H119" s="21" t="s">
        <v>38</v>
      </c>
      <c r="I119" s="20">
        <v>14707200.380000001</v>
      </c>
      <c r="J119" s="20">
        <v>173266</v>
      </c>
      <c r="K119" s="20"/>
      <c r="L119" s="20">
        <v>-149000</v>
      </c>
      <c r="M119" s="20"/>
      <c r="N119" s="20"/>
      <c r="O119" s="20">
        <v>0</v>
      </c>
      <c r="P119" s="20"/>
      <c r="Q119" s="20"/>
      <c r="R119" s="20"/>
      <c r="S119" s="20">
        <v>20000</v>
      </c>
      <c r="T119" s="20">
        <f>14707200.38+J119+L119+O119+S119</f>
        <v>14751466.380000001</v>
      </c>
      <c r="U119" s="20"/>
      <c r="V119" s="20"/>
      <c r="W119" s="20"/>
      <c r="X119" s="20"/>
      <c r="Y119" s="20">
        <v>14995890.390000001</v>
      </c>
      <c r="Z119" s="20"/>
      <c r="AA119" s="20"/>
      <c r="AB119" s="20"/>
      <c r="AC119" s="20"/>
      <c r="AD119" s="20">
        <v>15092702.609999999</v>
      </c>
      <c r="AI119" s="10">
        <v>12952443.23</v>
      </c>
      <c r="AJ119" s="10">
        <v>12752026.49</v>
      </c>
      <c r="AK119" s="10">
        <v>13235684.869999999</v>
      </c>
      <c r="AM119" s="46">
        <v>80720</v>
      </c>
    </row>
    <row r="120" spans="1:39" ht="30.75" customHeight="1" x14ac:dyDescent="0.25">
      <c r="A120" s="3" t="s">
        <v>77</v>
      </c>
      <c r="B120" s="49" t="s">
        <v>78</v>
      </c>
      <c r="C120" s="13" t="s">
        <v>16</v>
      </c>
      <c r="D120" s="13">
        <v>1</v>
      </c>
      <c r="E120" s="13">
        <v>11</v>
      </c>
      <c r="F120" s="13">
        <v>902</v>
      </c>
      <c r="G120" s="13">
        <v>80720</v>
      </c>
      <c r="H120" s="18"/>
      <c r="I120" s="15">
        <f t="shared" ref="I120" si="23">I121+I126</f>
        <v>17635802.219999999</v>
      </c>
      <c r="J120" s="15">
        <f t="shared" ref="J120:AH120" si="24">J121+J126</f>
        <v>300000</v>
      </c>
      <c r="K120" s="15">
        <f t="shared" si="24"/>
        <v>11116052</v>
      </c>
      <c r="L120" s="15">
        <f t="shared" si="24"/>
        <v>-100000</v>
      </c>
      <c r="M120" s="15">
        <f t="shared" si="24"/>
        <v>194730</v>
      </c>
      <c r="N120" s="15"/>
      <c r="O120" s="15"/>
      <c r="P120" s="15">
        <f t="shared" si="24"/>
        <v>-1376394.36</v>
      </c>
      <c r="Q120" s="15"/>
      <c r="R120" s="15"/>
      <c r="S120" s="15"/>
      <c r="T120" s="15">
        <f t="shared" si="24"/>
        <v>28170625.859999999</v>
      </c>
      <c r="U120" s="15"/>
      <c r="V120" s="15"/>
      <c r="W120" s="15"/>
      <c r="X120" s="15"/>
      <c r="Y120" s="15">
        <f t="shared" si="24"/>
        <v>17372049.98</v>
      </c>
      <c r="Z120" s="15"/>
      <c r="AA120" s="15"/>
      <c r="AB120" s="15"/>
      <c r="AC120" s="15"/>
      <c r="AD120" s="15">
        <f t="shared" si="24"/>
        <v>18969984.419999998</v>
      </c>
      <c r="AE120" s="15">
        <f t="shared" si="24"/>
        <v>0</v>
      </c>
      <c r="AF120" s="15">
        <f t="shared" si="24"/>
        <v>8610772.2400000002</v>
      </c>
      <c r="AG120" s="15">
        <f t="shared" si="24"/>
        <v>8928384.9900000002</v>
      </c>
      <c r="AH120" s="15">
        <f t="shared" si="24"/>
        <v>9117985.5600000005</v>
      </c>
      <c r="AI120" s="10">
        <v>4683358.99</v>
      </c>
      <c r="AJ120" s="10">
        <v>4620023.49</v>
      </c>
      <c r="AK120" s="10">
        <v>5734299.5499999998</v>
      </c>
      <c r="AM120" s="46">
        <v>80720</v>
      </c>
    </row>
    <row r="121" spans="1:39" ht="53.25" customHeight="1" x14ac:dyDescent="0.25">
      <c r="A121" s="5" t="s">
        <v>22</v>
      </c>
      <c r="B121" s="5" t="s">
        <v>22</v>
      </c>
      <c r="C121" s="11" t="s">
        <v>16</v>
      </c>
      <c r="D121" s="11">
        <v>1</v>
      </c>
      <c r="E121" s="11">
        <v>11</v>
      </c>
      <c r="F121" s="11">
        <v>902</v>
      </c>
      <c r="G121" s="11">
        <v>80720</v>
      </c>
      <c r="H121" s="21" t="s">
        <v>57</v>
      </c>
      <c r="I121" s="20">
        <f>I122</f>
        <v>9983990.1799999997</v>
      </c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>
        <f>T122</f>
        <v>9983990.1799999997</v>
      </c>
      <c r="U121" s="20"/>
      <c r="V121" s="20"/>
      <c r="W121" s="20"/>
      <c r="X121" s="20"/>
      <c r="Y121" s="20">
        <f>Y122</f>
        <v>10384334.08</v>
      </c>
      <c r="Z121" s="20"/>
      <c r="AA121" s="20"/>
      <c r="AB121" s="20"/>
      <c r="AC121" s="20"/>
      <c r="AD121" s="20">
        <f>AD122</f>
        <v>11821173.529999999</v>
      </c>
      <c r="AF121" s="10">
        <f>AF122+AF123</f>
        <v>7014234.7999999998</v>
      </c>
      <c r="AG121" s="10">
        <f>AG122+AG123</f>
        <v>7273655.2999999998</v>
      </c>
      <c r="AH121" s="10">
        <f>AH122+AH123</f>
        <v>7420917.6600000001</v>
      </c>
      <c r="AI121" s="10">
        <f>SUM(AI119:AI120)</f>
        <v>17635802.219999999</v>
      </c>
      <c r="AJ121" s="10">
        <f>SUM(AJ119:AJ120)</f>
        <v>17372049.98</v>
      </c>
      <c r="AK121" s="10">
        <f>SUM(AK119:AK120)</f>
        <v>18969984.419999998</v>
      </c>
      <c r="AL121" s="10">
        <f>SUM(AL119:AL120)</f>
        <v>0</v>
      </c>
      <c r="AM121" s="46">
        <v>80720</v>
      </c>
    </row>
    <row r="122" spans="1:39" ht="32.25" customHeight="1" x14ac:dyDescent="0.25">
      <c r="A122" s="54" t="s">
        <v>79</v>
      </c>
      <c r="B122" s="36" t="s">
        <v>79</v>
      </c>
      <c r="C122" s="11" t="s">
        <v>16</v>
      </c>
      <c r="D122" s="11">
        <v>1</v>
      </c>
      <c r="E122" s="11">
        <v>11</v>
      </c>
      <c r="F122" s="11">
        <v>902</v>
      </c>
      <c r="G122" s="11">
        <v>80720</v>
      </c>
      <c r="H122" s="21" t="s">
        <v>80</v>
      </c>
      <c r="I122" s="20">
        <f>I123+I124+I125</f>
        <v>9983990.1799999997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>
        <f>T123+T124+T125</f>
        <v>9983990.1799999997</v>
      </c>
      <c r="U122" s="20"/>
      <c r="V122" s="20"/>
      <c r="W122" s="20"/>
      <c r="X122" s="20"/>
      <c r="Y122" s="20">
        <f>Y123+Y124+Y125</f>
        <v>10384334.08</v>
      </c>
      <c r="Z122" s="20"/>
      <c r="AA122" s="20"/>
      <c r="AB122" s="20"/>
      <c r="AC122" s="20"/>
      <c r="AD122" s="20">
        <f>AD123+AD124+AD125</f>
        <v>11821173.529999999</v>
      </c>
      <c r="AF122" s="10">
        <v>1603687</v>
      </c>
      <c r="AG122" s="10">
        <v>1670417.92</v>
      </c>
      <c r="AH122" s="10">
        <v>1677487.53</v>
      </c>
      <c r="AI122" s="10">
        <v>1731868.71</v>
      </c>
      <c r="AJ122" s="10">
        <v>1724901.21</v>
      </c>
      <c r="AK122" s="10">
        <v>2580720</v>
      </c>
      <c r="AM122" s="46">
        <v>111</v>
      </c>
    </row>
    <row r="123" spans="1:39" ht="24" customHeight="1" x14ac:dyDescent="0.25">
      <c r="A123" s="5" t="s">
        <v>81</v>
      </c>
      <c r="B123" s="5" t="s">
        <v>81</v>
      </c>
      <c r="C123" s="11" t="s">
        <v>16</v>
      </c>
      <c r="D123" s="11">
        <v>1</v>
      </c>
      <c r="E123" s="11">
        <v>11</v>
      </c>
      <c r="F123" s="11">
        <v>902</v>
      </c>
      <c r="G123" s="11">
        <v>80720</v>
      </c>
      <c r="H123" s="21">
        <v>111</v>
      </c>
      <c r="I123" s="20">
        <v>7639792.3600000003</v>
      </c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>
        <v>7639792.3600000003</v>
      </c>
      <c r="U123" s="20"/>
      <c r="V123" s="20"/>
      <c r="W123" s="20"/>
      <c r="X123" s="20"/>
      <c r="Y123" s="20">
        <v>7948427.0300000003</v>
      </c>
      <c r="Z123" s="20"/>
      <c r="AA123" s="20"/>
      <c r="AB123" s="20"/>
      <c r="AC123" s="20"/>
      <c r="AD123" s="20">
        <v>9053186.8599999994</v>
      </c>
      <c r="AE123" s="46">
        <v>111</v>
      </c>
      <c r="AF123" s="10">
        <v>5410547.7999999998</v>
      </c>
      <c r="AG123" s="10">
        <v>5603237.3799999999</v>
      </c>
      <c r="AH123" s="10">
        <v>5743430.1299999999</v>
      </c>
      <c r="AI123" s="20">
        <v>5907923.6500000004</v>
      </c>
      <c r="AJ123" s="20">
        <v>6223525.8200000003</v>
      </c>
      <c r="AK123" s="20">
        <v>6472466.8600000003</v>
      </c>
      <c r="AM123" s="46">
        <v>111</v>
      </c>
    </row>
    <row r="124" spans="1:39" ht="24" customHeight="1" x14ac:dyDescent="0.25">
      <c r="A124" s="5"/>
      <c r="B124" s="5" t="s">
        <v>82</v>
      </c>
      <c r="C124" s="11" t="s">
        <v>16</v>
      </c>
      <c r="D124" s="11">
        <v>1</v>
      </c>
      <c r="E124" s="11">
        <v>11</v>
      </c>
      <c r="F124" s="11">
        <v>902</v>
      </c>
      <c r="G124" s="11">
        <v>80720</v>
      </c>
      <c r="H124" s="21">
        <v>112</v>
      </c>
      <c r="I124" s="20">
        <v>85300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>
        <v>85300</v>
      </c>
      <c r="U124" s="20"/>
      <c r="V124" s="20"/>
      <c r="W124" s="20"/>
      <c r="X124" s="20"/>
      <c r="Y124" s="20">
        <v>85300</v>
      </c>
      <c r="Z124" s="20"/>
      <c r="AA124" s="20"/>
      <c r="AB124" s="20"/>
      <c r="AC124" s="20"/>
      <c r="AD124" s="20">
        <v>85300</v>
      </c>
      <c r="AI124" s="10">
        <f>SUM(AI122:AI123)</f>
        <v>7639792.3600000003</v>
      </c>
      <c r="AJ124" s="10">
        <f>SUM(AJ122:AJ123)</f>
        <v>7948427.0300000003</v>
      </c>
      <c r="AK124" s="10">
        <f>SUM(AK122:AK123)</f>
        <v>9053186.8599999994</v>
      </c>
    </row>
    <row r="125" spans="1:39" ht="48.75" customHeight="1" x14ac:dyDescent="0.25">
      <c r="A125" s="5" t="s">
        <v>83</v>
      </c>
      <c r="B125" s="5" t="s">
        <v>83</v>
      </c>
      <c r="C125" s="11" t="s">
        <v>16</v>
      </c>
      <c r="D125" s="11">
        <v>1</v>
      </c>
      <c r="E125" s="11">
        <v>11</v>
      </c>
      <c r="F125" s="11">
        <v>902</v>
      </c>
      <c r="G125" s="11">
        <v>80720</v>
      </c>
      <c r="H125" s="21">
        <v>119</v>
      </c>
      <c r="I125" s="20">
        <v>2258897.8199999998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>
        <v>2258897.8199999998</v>
      </c>
      <c r="U125" s="20"/>
      <c r="V125" s="20"/>
      <c r="W125" s="20"/>
      <c r="X125" s="20"/>
      <c r="Y125" s="20">
        <v>2350607.0499999998</v>
      </c>
      <c r="Z125" s="20"/>
      <c r="AA125" s="20"/>
      <c r="AB125" s="20"/>
      <c r="AC125" s="20"/>
      <c r="AD125" s="20">
        <v>2682686.67</v>
      </c>
      <c r="AE125" s="46">
        <v>119</v>
      </c>
      <c r="AF125" s="10">
        <v>1596537.44</v>
      </c>
      <c r="AG125" s="10">
        <v>1654729.69</v>
      </c>
      <c r="AH125" s="10">
        <v>1697067.9</v>
      </c>
      <c r="AI125" s="20">
        <v>1746745.55</v>
      </c>
      <c r="AJ125" s="20">
        <v>1840558.88</v>
      </c>
      <c r="AK125" s="20">
        <v>1914181.23</v>
      </c>
      <c r="AM125" s="46">
        <v>119</v>
      </c>
    </row>
    <row r="126" spans="1:39" ht="46.5" customHeight="1" x14ac:dyDescent="0.25">
      <c r="A126" s="5" t="s">
        <v>26</v>
      </c>
      <c r="B126" s="5" t="s">
        <v>26</v>
      </c>
      <c r="C126" s="11" t="s">
        <v>16</v>
      </c>
      <c r="D126" s="11">
        <v>1</v>
      </c>
      <c r="E126" s="11">
        <v>11</v>
      </c>
      <c r="F126" s="11">
        <v>902</v>
      </c>
      <c r="G126" s="11">
        <v>80720</v>
      </c>
      <c r="H126" s="21" t="s">
        <v>27</v>
      </c>
      <c r="I126" s="20">
        <f t="shared" ref="I126:AD127" si="25">I127</f>
        <v>7651812.04</v>
      </c>
      <c r="J126" s="20">
        <f t="shared" si="25"/>
        <v>300000</v>
      </c>
      <c r="K126" s="20">
        <f t="shared" si="25"/>
        <v>11116052</v>
      </c>
      <c r="L126" s="20">
        <f t="shared" si="25"/>
        <v>-100000</v>
      </c>
      <c r="M126" s="20">
        <f t="shared" si="25"/>
        <v>194730</v>
      </c>
      <c r="N126" s="20"/>
      <c r="O126" s="20"/>
      <c r="P126" s="20">
        <f t="shared" si="25"/>
        <v>-1376394.36</v>
      </c>
      <c r="Q126" s="20"/>
      <c r="R126" s="20"/>
      <c r="S126" s="20"/>
      <c r="T126" s="20">
        <f t="shared" si="25"/>
        <v>18186635.68</v>
      </c>
      <c r="U126" s="20"/>
      <c r="V126" s="20"/>
      <c r="W126" s="20"/>
      <c r="X126" s="20"/>
      <c r="Y126" s="20">
        <f t="shared" si="25"/>
        <v>6987715.9000000004</v>
      </c>
      <c r="Z126" s="20"/>
      <c r="AA126" s="20"/>
      <c r="AB126" s="20"/>
      <c r="AC126" s="20"/>
      <c r="AD126" s="20">
        <f t="shared" si="25"/>
        <v>7148810.8899999997</v>
      </c>
      <c r="AF126" s="10">
        <f>SUM(AF125:AF125)</f>
        <v>1596537.44</v>
      </c>
      <c r="AG126" s="10">
        <f>SUM(AG125:AG125)</f>
        <v>1654729.69</v>
      </c>
      <c r="AH126" s="10">
        <f>SUM(AH125:AH125)</f>
        <v>1697067.9</v>
      </c>
      <c r="AI126" s="10">
        <v>512152.27</v>
      </c>
      <c r="AJ126" s="10">
        <v>510048.17</v>
      </c>
      <c r="AK126" s="10">
        <v>768505.44</v>
      </c>
      <c r="AM126" s="46">
        <v>119</v>
      </c>
    </row>
    <row r="127" spans="1:39" ht="45.75" customHeight="1" x14ac:dyDescent="0.25">
      <c r="A127" s="5" t="s">
        <v>28</v>
      </c>
      <c r="B127" s="5" t="s">
        <v>28</v>
      </c>
      <c r="C127" s="11" t="s">
        <v>16</v>
      </c>
      <c r="D127" s="11">
        <v>1</v>
      </c>
      <c r="E127" s="11">
        <v>11</v>
      </c>
      <c r="F127" s="11">
        <v>902</v>
      </c>
      <c r="G127" s="11">
        <v>80720</v>
      </c>
      <c r="H127" s="21" t="s">
        <v>29</v>
      </c>
      <c r="I127" s="20">
        <f t="shared" si="25"/>
        <v>7651812.04</v>
      </c>
      <c r="J127" s="20">
        <f t="shared" si="25"/>
        <v>300000</v>
      </c>
      <c r="K127" s="20">
        <f t="shared" si="25"/>
        <v>11116052</v>
      </c>
      <c r="L127" s="20">
        <f t="shared" si="25"/>
        <v>-100000</v>
      </c>
      <c r="M127" s="20">
        <f t="shared" si="25"/>
        <v>194730</v>
      </c>
      <c r="N127" s="20"/>
      <c r="O127" s="20"/>
      <c r="P127" s="20">
        <f t="shared" si="25"/>
        <v>-1376394.36</v>
      </c>
      <c r="Q127" s="20"/>
      <c r="R127" s="20"/>
      <c r="S127" s="20"/>
      <c r="T127" s="20">
        <f t="shared" si="25"/>
        <v>18186635.68</v>
      </c>
      <c r="U127" s="20"/>
      <c r="V127" s="20"/>
      <c r="W127" s="20"/>
      <c r="X127" s="20"/>
      <c r="Y127" s="20">
        <f t="shared" si="25"/>
        <v>6987715.9000000004</v>
      </c>
      <c r="Z127" s="20"/>
      <c r="AA127" s="20"/>
      <c r="AB127" s="20"/>
      <c r="AC127" s="20"/>
      <c r="AD127" s="20">
        <f t="shared" si="25"/>
        <v>7148810.8899999997</v>
      </c>
      <c r="AI127" s="10">
        <f>SUM(AI125:AI126)</f>
        <v>2258897.8200000003</v>
      </c>
      <c r="AJ127" s="10">
        <f>SUM(AJ125:AJ126)</f>
        <v>2350607.0499999998</v>
      </c>
      <c r="AK127" s="10">
        <f>SUM(AK125:AK126)</f>
        <v>2682686.67</v>
      </c>
      <c r="AM127" s="46">
        <v>119</v>
      </c>
    </row>
    <row r="128" spans="1:39" ht="44.25" customHeight="1" x14ac:dyDescent="0.25">
      <c r="A128" s="5" t="s">
        <v>30</v>
      </c>
      <c r="B128" s="5" t="s">
        <v>30</v>
      </c>
      <c r="C128" s="11" t="s">
        <v>16</v>
      </c>
      <c r="D128" s="11">
        <v>1</v>
      </c>
      <c r="E128" s="11">
        <v>11</v>
      </c>
      <c r="F128" s="11">
        <v>902</v>
      </c>
      <c r="G128" s="11">
        <v>80720</v>
      </c>
      <c r="H128" s="21">
        <v>244</v>
      </c>
      <c r="I128" s="20">
        <v>7651812.04</v>
      </c>
      <c r="J128" s="20">
        <v>300000</v>
      </c>
      <c r="K128" s="20">
        <v>11116052</v>
      </c>
      <c r="L128" s="20">
        <v>-100000</v>
      </c>
      <c r="M128" s="20">
        <v>194730</v>
      </c>
      <c r="N128" s="20"/>
      <c r="O128" s="20"/>
      <c r="P128" s="20">
        <v>-1376394.36</v>
      </c>
      <c r="Q128" s="20"/>
      <c r="R128" s="20"/>
      <c r="S128" s="20">
        <v>400436</v>
      </c>
      <c r="T128" s="20">
        <f>7651812.04+J128+K128+L128+M128+P128+S128</f>
        <v>18186635.68</v>
      </c>
      <c r="U128" s="20"/>
      <c r="V128" s="20"/>
      <c r="W128" s="20"/>
      <c r="X128" s="20"/>
      <c r="Y128" s="20">
        <v>6987715.9000000004</v>
      </c>
      <c r="Z128" s="20"/>
      <c r="AA128" s="20"/>
      <c r="AB128" s="20"/>
      <c r="AC128" s="20"/>
      <c r="AD128" s="20">
        <v>7148810.8899999997</v>
      </c>
      <c r="AF128" s="10">
        <v>5993287.6100000003</v>
      </c>
      <c r="AG128" s="10">
        <v>5932373.0199999996</v>
      </c>
      <c r="AH128" s="10">
        <v>5957407.8099999996</v>
      </c>
      <c r="AI128" s="20">
        <v>5297774.03</v>
      </c>
      <c r="AJ128" s="20">
        <v>4687941.79</v>
      </c>
      <c r="AK128" s="20">
        <v>4849036.78</v>
      </c>
      <c r="AM128" s="46">
        <v>244</v>
      </c>
    </row>
    <row r="129" spans="1:39" ht="21" x14ac:dyDescent="0.25">
      <c r="A129" s="5"/>
      <c r="B129" s="49" t="s">
        <v>84</v>
      </c>
      <c r="C129" s="19" t="s">
        <v>16</v>
      </c>
      <c r="D129" s="13">
        <v>1</v>
      </c>
      <c r="E129" s="13">
        <v>11</v>
      </c>
      <c r="F129" s="13">
        <v>902</v>
      </c>
      <c r="G129" s="13">
        <v>81150</v>
      </c>
      <c r="H129" s="14"/>
      <c r="I129" s="15">
        <f t="shared" ref="I129:AD131" si="26">I130</f>
        <v>50000</v>
      </c>
      <c r="J129" s="15"/>
      <c r="K129" s="15"/>
      <c r="L129" s="15">
        <f t="shared" si="26"/>
        <v>7000</v>
      </c>
      <c r="M129" s="15"/>
      <c r="N129" s="15"/>
      <c r="O129" s="15"/>
      <c r="P129" s="15"/>
      <c r="Q129" s="15"/>
      <c r="R129" s="15"/>
      <c r="S129" s="15"/>
      <c r="T129" s="15">
        <f t="shared" si="26"/>
        <v>57000</v>
      </c>
      <c r="U129" s="15"/>
      <c r="V129" s="15"/>
      <c r="W129" s="15"/>
      <c r="X129" s="15"/>
      <c r="Y129" s="15">
        <f t="shared" si="26"/>
        <v>50000</v>
      </c>
      <c r="Z129" s="15"/>
      <c r="AA129" s="15"/>
      <c r="AB129" s="15"/>
      <c r="AC129" s="15"/>
      <c r="AD129" s="15">
        <f t="shared" si="26"/>
        <v>50000</v>
      </c>
      <c r="AI129" s="10">
        <v>2354038.0099999998</v>
      </c>
      <c r="AJ129" s="10">
        <v>2299774.11</v>
      </c>
      <c r="AK129" s="10">
        <v>2299774.11</v>
      </c>
      <c r="AM129" s="46">
        <v>244</v>
      </c>
    </row>
    <row r="130" spans="1:39" ht="44.25" customHeight="1" x14ac:dyDescent="0.25">
      <c r="A130" s="5"/>
      <c r="B130" s="5" t="s">
        <v>26</v>
      </c>
      <c r="C130" s="2" t="s">
        <v>16</v>
      </c>
      <c r="D130" s="11">
        <v>1</v>
      </c>
      <c r="E130" s="11">
        <v>11</v>
      </c>
      <c r="F130" s="11">
        <v>902</v>
      </c>
      <c r="G130" s="11">
        <v>81150</v>
      </c>
      <c r="H130" s="21">
        <v>200</v>
      </c>
      <c r="I130" s="20">
        <f t="shared" si="26"/>
        <v>50000</v>
      </c>
      <c r="J130" s="20"/>
      <c r="K130" s="20"/>
      <c r="L130" s="20">
        <f t="shared" si="26"/>
        <v>7000</v>
      </c>
      <c r="M130" s="20"/>
      <c r="N130" s="20"/>
      <c r="O130" s="20"/>
      <c r="P130" s="20"/>
      <c r="Q130" s="20"/>
      <c r="R130" s="20"/>
      <c r="S130" s="20"/>
      <c r="T130" s="20">
        <f t="shared" si="26"/>
        <v>57000</v>
      </c>
      <c r="U130" s="20"/>
      <c r="V130" s="20"/>
      <c r="W130" s="20"/>
      <c r="X130" s="20"/>
      <c r="Y130" s="20">
        <f t="shared" si="26"/>
        <v>50000</v>
      </c>
      <c r="Z130" s="20"/>
      <c r="AA130" s="20"/>
      <c r="AB130" s="20"/>
      <c r="AC130" s="20"/>
      <c r="AD130" s="20">
        <f t="shared" si="26"/>
        <v>50000</v>
      </c>
      <c r="AI130" s="10">
        <f>SUM(AI128:AI129)</f>
        <v>7651812.04</v>
      </c>
      <c r="AJ130" s="10">
        <f>SUM(AJ128:AJ129)</f>
        <v>6987715.9000000004</v>
      </c>
      <c r="AK130" s="10">
        <f>SUM(AK128:AK129)</f>
        <v>7148810.8900000006</v>
      </c>
      <c r="AM130" s="46">
        <v>244</v>
      </c>
    </row>
    <row r="131" spans="1:39" ht="44.25" customHeight="1" x14ac:dyDescent="0.25">
      <c r="A131" s="5"/>
      <c r="B131" s="5" t="s">
        <v>28</v>
      </c>
      <c r="C131" s="2" t="s">
        <v>16</v>
      </c>
      <c r="D131" s="11">
        <v>1</v>
      </c>
      <c r="E131" s="11">
        <v>11</v>
      </c>
      <c r="F131" s="11">
        <v>902</v>
      </c>
      <c r="G131" s="11">
        <v>81150</v>
      </c>
      <c r="H131" s="21">
        <v>240</v>
      </c>
      <c r="I131" s="20">
        <f t="shared" si="26"/>
        <v>50000</v>
      </c>
      <c r="J131" s="20"/>
      <c r="K131" s="20"/>
      <c r="L131" s="20">
        <f t="shared" si="26"/>
        <v>7000</v>
      </c>
      <c r="M131" s="20"/>
      <c r="N131" s="20"/>
      <c r="O131" s="20"/>
      <c r="P131" s="20"/>
      <c r="Q131" s="20"/>
      <c r="R131" s="20"/>
      <c r="S131" s="20"/>
      <c r="T131" s="20">
        <f t="shared" si="26"/>
        <v>57000</v>
      </c>
      <c r="U131" s="20"/>
      <c r="V131" s="20"/>
      <c r="W131" s="20"/>
      <c r="X131" s="20"/>
      <c r="Y131" s="20">
        <f t="shared" si="26"/>
        <v>50000</v>
      </c>
      <c r="Z131" s="20"/>
      <c r="AA131" s="20"/>
      <c r="AB131" s="20"/>
      <c r="AC131" s="20"/>
      <c r="AD131" s="20">
        <f t="shared" si="26"/>
        <v>50000</v>
      </c>
    </row>
    <row r="132" spans="1:39" ht="44.25" customHeight="1" x14ac:dyDescent="0.25">
      <c r="A132" s="5"/>
      <c r="B132" s="5" t="s">
        <v>30</v>
      </c>
      <c r="C132" s="2" t="s">
        <v>16</v>
      </c>
      <c r="D132" s="11">
        <v>1</v>
      </c>
      <c r="E132" s="11">
        <v>11</v>
      </c>
      <c r="F132" s="11">
        <v>902</v>
      </c>
      <c r="G132" s="11">
        <v>81150</v>
      </c>
      <c r="H132" s="21">
        <v>244</v>
      </c>
      <c r="I132" s="20">
        <v>50000</v>
      </c>
      <c r="J132" s="20"/>
      <c r="K132" s="20"/>
      <c r="L132" s="20">
        <v>7000</v>
      </c>
      <c r="M132" s="20"/>
      <c r="N132" s="20"/>
      <c r="O132" s="20"/>
      <c r="P132" s="20"/>
      <c r="Q132" s="20"/>
      <c r="R132" s="20"/>
      <c r="S132" s="20"/>
      <c r="T132" s="20">
        <f>50000+L132</f>
        <v>57000</v>
      </c>
      <c r="U132" s="20"/>
      <c r="V132" s="20"/>
      <c r="W132" s="20"/>
      <c r="X132" s="20"/>
      <c r="Y132" s="20">
        <v>50000</v>
      </c>
      <c r="Z132" s="20"/>
      <c r="AA132" s="20"/>
      <c r="AB132" s="20"/>
      <c r="AC132" s="20"/>
      <c r="AD132" s="20">
        <v>50000</v>
      </c>
    </row>
    <row r="133" spans="1:39" ht="44.25" customHeight="1" x14ac:dyDescent="0.25">
      <c r="A133" s="5"/>
      <c r="B133" s="5" t="s">
        <v>347</v>
      </c>
      <c r="C133" s="2" t="s">
        <v>16</v>
      </c>
      <c r="D133" s="11">
        <v>1</v>
      </c>
      <c r="E133" s="11">
        <v>11</v>
      </c>
      <c r="F133" s="11">
        <v>902</v>
      </c>
      <c r="G133" s="11">
        <v>81430</v>
      </c>
      <c r="H133" s="21"/>
      <c r="I133" s="20"/>
      <c r="J133" s="20"/>
      <c r="K133" s="20"/>
      <c r="L133" s="20"/>
      <c r="M133" s="20"/>
      <c r="N133" s="20">
        <f t="shared" ref="N133:T135" si="27">N134</f>
        <v>217632</v>
      </c>
      <c r="O133" s="20">
        <f t="shared" si="27"/>
        <v>380016.95</v>
      </c>
      <c r="P133" s="20">
        <f t="shared" si="27"/>
        <v>362420.28</v>
      </c>
      <c r="Q133" s="20"/>
      <c r="R133" s="20"/>
      <c r="S133" s="20"/>
      <c r="T133" s="20">
        <f t="shared" si="27"/>
        <v>960069.23</v>
      </c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9" ht="35.25" customHeight="1" x14ac:dyDescent="0.25">
      <c r="A134" s="5"/>
      <c r="B134" s="5" t="s">
        <v>26</v>
      </c>
      <c r="C134" s="2" t="s">
        <v>16</v>
      </c>
      <c r="D134" s="11">
        <v>1</v>
      </c>
      <c r="E134" s="11">
        <v>11</v>
      </c>
      <c r="F134" s="11">
        <v>902</v>
      </c>
      <c r="G134" s="11">
        <v>81430</v>
      </c>
      <c r="H134" s="21">
        <v>200</v>
      </c>
      <c r="I134" s="20"/>
      <c r="J134" s="20"/>
      <c r="K134" s="20"/>
      <c r="L134" s="20"/>
      <c r="M134" s="20"/>
      <c r="N134" s="20">
        <f t="shared" si="27"/>
        <v>217632</v>
      </c>
      <c r="O134" s="20">
        <f t="shared" si="27"/>
        <v>380016.95</v>
      </c>
      <c r="P134" s="20">
        <f t="shared" si="27"/>
        <v>362420.28</v>
      </c>
      <c r="Q134" s="20"/>
      <c r="R134" s="20"/>
      <c r="S134" s="20"/>
      <c r="T134" s="20">
        <f t="shared" si="27"/>
        <v>960069.23</v>
      </c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9" ht="44.25" customHeight="1" x14ac:dyDescent="0.25">
      <c r="A135" s="5"/>
      <c r="B135" s="5" t="s">
        <v>28</v>
      </c>
      <c r="C135" s="2" t="s">
        <v>16</v>
      </c>
      <c r="D135" s="11">
        <v>1</v>
      </c>
      <c r="E135" s="11">
        <v>11</v>
      </c>
      <c r="F135" s="11">
        <v>902</v>
      </c>
      <c r="G135" s="11">
        <v>81430</v>
      </c>
      <c r="H135" s="21">
        <v>240</v>
      </c>
      <c r="I135" s="20"/>
      <c r="J135" s="20"/>
      <c r="K135" s="20"/>
      <c r="L135" s="20"/>
      <c r="M135" s="20"/>
      <c r="N135" s="20">
        <f t="shared" si="27"/>
        <v>217632</v>
      </c>
      <c r="O135" s="20">
        <f t="shared" si="27"/>
        <v>380016.95</v>
      </c>
      <c r="P135" s="20">
        <f t="shared" si="27"/>
        <v>362420.28</v>
      </c>
      <c r="Q135" s="20"/>
      <c r="R135" s="20"/>
      <c r="S135" s="20"/>
      <c r="T135" s="20">
        <f t="shared" si="27"/>
        <v>960069.23</v>
      </c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9" ht="30" customHeight="1" x14ac:dyDescent="0.25">
      <c r="A136" s="5"/>
      <c r="B136" s="5" t="s">
        <v>30</v>
      </c>
      <c r="C136" s="2" t="s">
        <v>16</v>
      </c>
      <c r="D136" s="11">
        <v>1</v>
      </c>
      <c r="E136" s="11">
        <v>11</v>
      </c>
      <c r="F136" s="11">
        <v>902</v>
      </c>
      <c r="G136" s="11">
        <v>81430</v>
      </c>
      <c r="H136" s="21">
        <v>244</v>
      </c>
      <c r="I136" s="20"/>
      <c r="J136" s="20"/>
      <c r="K136" s="20"/>
      <c r="L136" s="20"/>
      <c r="M136" s="20"/>
      <c r="N136" s="20">
        <v>217632</v>
      </c>
      <c r="O136" s="20">
        <v>380016.95</v>
      </c>
      <c r="P136" s="20">
        <v>362420.28</v>
      </c>
      <c r="Q136" s="20"/>
      <c r="R136" s="20"/>
      <c r="S136" s="20"/>
      <c r="T136" s="20">
        <f>N136+O136+P136</f>
        <v>960069.23</v>
      </c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9" ht="67.5" customHeight="1" x14ac:dyDescent="0.25">
      <c r="A137" s="5"/>
      <c r="B137" s="49" t="s">
        <v>85</v>
      </c>
      <c r="C137" s="19" t="s">
        <v>16</v>
      </c>
      <c r="D137" s="13">
        <v>1</v>
      </c>
      <c r="E137" s="13">
        <v>11</v>
      </c>
      <c r="F137" s="13">
        <v>902</v>
      </c>
      <c r="G137" s="13">
        <v>81630</v>
      </c>
      <c r="H137" s="14"/>
      <c r="I137" s="15">
        <f t="shared" ref="I137:AD139" si="28">I138</f>
        <v>4920000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>
        <f t="shared" si="28"/>
        <v>4920000</v>
      </c>
      <c r="U137" s="15"/>
      <c r="V137" s="15"/>
      <c r="W137" s="15"/>
      <c r="X137" s="15"/>
      <c r="Y137" s="15">
        <f t="shared" si="28"/>
        <v>4920000</v>
      </c>
      <c r="Z137" s="15"/>
      <c r="AA137" s="15"/>
      <c r="AB137" s="15"/>
      <c r="AC137" s="15"/>
      <c r="AD137" s="15">
        <f t="shared" si="28"/>
        <v>4920000</v>
      </c>
    </row>
    <row r="138" spans="1:39" x14ac:dyDescent="0.25">
      <c r="A138" s="5"/>
      <c r="B138" s="5" t="s">
        <v>59</v>
      </c>
      <c r="C138" s="2" t="s">
        <v>16</v>
      </c>
      <c r="D138" s="11">
        <v>1</v>
      </c>
      <c r="E138" s="11">
        <v>11</v>
      </c>
      <c r="F138" s="11">
        <v>902</v>
      </c>
      <c r="G138" s="11">
        <v>81630</v>
      </c>
      <c r="H138" s="21">
        <v>800</v>
      </c>
      <c r="I138" s="20">
        <f t="shared" si="28"/>
        <v>4920000</v>
      </c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>
        <f t="shared" si="28"/>
        <v>4920000</v>
      </c>
      <c r="U138" s="20"/>
      <c r="V138" s="20"/>
      <c r="W138" s="20"/>
      <c r="X138" s="20"/>
      <c r="Y138" s="20">
        <f t="shared" si="28"/>
        <v>4920000</v>
      </c>
      <c r="Z138" s="20"/>
      <c r="AA138" s="20"/>
      <c r="AB138" s="20"/>
      <c r="AC138" s="20"/>
      <c r="AD138" s="20">
        <f t="shared" si="28"/>
        <v>4920000</v>
      </c>
    </row>
    <row r="139" spans="1:39" ht="41.25" customHeight="1" x14ac:dyDescent="0.25">
      <c r="A139" s="5"/>
      <c r="B139" s="5" t="s">
        <v>86</v>
      </c>
      <c r="C139" s="2" t="s">
        <v>16</v>
      </c>
      <c r="D139" s="11">
        <v>1</v>
      </c>
      <c r="E139" s="11">
        <v>11</v>
      </c>
      <c r="F139" s="11">
        <v>902</v>
      </c>
      <c r="G139" s="11">
        <v>81630</v>
      </c>
      <c r="H139" s="21">
        <v>810</v>
      </c>
      <c r="I139" s="20">
        <f t="shared" si="28"/>
        <v>4920000</v>
      </c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>
        <f t="shared" si="28"/>
        <v>4920000</v>
      </c>
      <c r="U139" s="20"/>
      <c r="V139" s="20"/>
      <c r="W139" s="20"/>
      <c r="X139" s="20"/>
      <c r="Y139" s="20">
        <f t="shared" si="28"/>
        <v>4920000</v>
      </c>
      <c r="Z139" s="20"/>
      <c r="AA139" s="20"/>
      <c r="AB139" s="20"/>
      <c r="AC139" s="20"/>
      <c r="AD139" s="20">
        <f t="shared" si="28"/>
        <v>4920000</v>
      </c>
    </row>
    <row r="140" spans="1:39" ht="63.75" customHeight="1" x14ac:dyDescent="0.25">
      <c r="A140" s="5"/>
      <c r="B140" s="55" t="s">
        <v>87</v>
      </c>
      <c r="C140" s="2" t="s">
        <v>16</v>
      </c>
      <c r="D140" s="11">
        <v>1</v>
      </c>
      <c r="E140" s="11">
        <v>11</v>
      </c>
      <c r="F140" s="11">
        <v>902</v>
      </c>
      <c r="G140" s="11">
        <v>81630</v>
      </c>
      <c r="H140" s="21">
        <v>811</v>
      </c>
      <c r="I140" s="20">
        <v>4920000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>
        <v>4920000</v>
      </c>
      <c r="U140" s="20"/>
      <c r="V140" s="20"/>
      <c r="W140" s="20"/>
      <c r="X140" s="20"/>
      <c r="Y140" s="20">
        <v>4920000</v>
      </c>
      <c r="Z140" s="20"/>
      <c r="AA140" s="20"/>
      <c r="AB140" s="20"/>
      <c r="AC140" s="20"/>
      <c r="AD140" s="20">
        <v>4920000</v>
      </c>
    </row>
    <row r="141" spans="1:39" x14ac:dyDescent="0.25">
      <c r="A141" s="5"/>
      <c r="B141" s="49" t="s">
        <v>88</v>
      </c>
      <c r="C141" s="19" t="s">
        <v>16</v>
      </c>
      <c r="D141" s="13">
        <v>1</v>
      </c>
      <c r="E141" s="13">
        <v>11</v>
      </c>
      <c r="F141" s="13">
        <v>902</v>
      </c>
      <c r="G141" s="13">
        <v>81690</v>
      </c>
      <c r="H141" s="14"/>
      <c r="I141" s="15">
        <f t="shared" ref="I141:AD143" si="29">I142</f>
        <v>13926870.77</v>
      </c>
      <c r="J141" s="15"/>
      <c r="K141" s="15"/>
      <c r="L141" s="15"/>
      <c r="M141" s="15"/>
      <c r="N141" s="15"/>
      <c r="O141" s="15">
        <f t="shared" si="29"/>
        <v>0</v>
      </c>
      <c r="P141" s="15">
        <f t="shared" si="29"/>
        <v>1277216</v>
      </c>
      <c r="Q141" s="15"/>
      <c r="R141" s="15"/>
      <c r="S141" s="15"/>
      <c r="T141" s="15">
        <f t="shared" si="29"/>
        <v>14454166.77</v>
      </c>
      <c r="U141" s="15"/>
      <c r="V141" s="15"/>
      <c r="W141" s="15"/>
      <c r="X141" s="15"/>
      <c r="Y141" s="15">
        <f t="shared" si="29"/>
        <v>17066855.920000002</v>
      </c>
      <c r="Z141" s="15"/>
      <c r="AA141" s="15"/>
      <c r="AB141" s="15"/>
      <c r="AC141" s="15"/>
      <c r="AD141" s="15">
        <f t="shared" si="29"/>
        <v>19517470.530000001</v>
      </c>
    </row>
    <row r="142" spans="1:39" ht="22.5" x14ac:dyDescent="0.25">
      <c r="A142" s="5"/>
      <c r="B142" s="5" t="s">
        <v>26</v>
      </c>
      <c r="C142" s="2" t="s">
        <v>16</v>
      </c>
      <c r="D142" s="11">
        <v>1</v>
      </c>
      <c r="E142" s="11">
        <v>11</v>
      </c>
      <c r="F142" s="11">
        <v>902</v>
      </c>
      <c r="G142" s="11">
        <v>81690</v>
      </c>
      <c r="H142" s="21">
        <v>200</v>
      </c>
      <c r="I142" s="20">
        <f t="shared" si="29"/>
        <v>13926870.77</v>
      </c>
      <c r="J142" s="20"/>
      <c r="K142" s="20"/>
      <c r="L142" s="20"/>
      <c r="M142" s="20"/>
      <c r="N142" s="20"/>
      <c r="O142" s="20">
        <f t="shared" si="29"/>
        <v>0</v>
      </c>
      <c r="P142" s="20">
        <f t="shared" si="29"/>
        <v>1277216</v>
      </c>
      <c r="Q142" s="20"/>
      <c r="R142" s="20"/>
      <c r="S142" s="20"/>
      <c r="T142" s="20">
        <f t="shared" si="29"/>
        <v>14454166.77</v>
      </c>
      <c r="U142" s="20"/>
      <c r="V142" s="20"/>
      <c r="W142" s="20"/>
      <c r="X142" s="20"/>
      <c r="Y142" s="20">
        <f t="shared" si="29"/>
        <v>17066855.920000002</v>
      </c>
      <c r="Z142" s="20"/>
      <c r="AA142" s="20"/>
      <c r="AB142" s="20"/>
      <c r="AC142" s="20"/>
      <c r="AD142" s="20">
        <f t="shared" si="29"/>
        <v>19517470.530000001</v>
      </c>
    </row>
    <row r="143" spans="1:39" ht="22.5" x14ac:dyDescent="0.25">
      <c r="A143" s="5"/>
      <c r="B143" s="5" t="s">
        <v>28</v>
      </c>
      <c r="C143" s="2" t="s">
        <v>16</v>
      </c>
      <c r="D143" s="11">
        <v>1</v>
      </c>
      <c r="E143" s="11">
        <v>11</v>
      </c>
      <c r="F143" s="11">
        <v>902</v>
      </c>
      <c r="G143" s="11">
        <v>81690</v>
      </c>
      <c r="H143" s="21">
        <v>240</v>
      </c>
      <c r="I143" s="20">
        <f t="shared" si="29"/>
        <v>13926870.77</v>
      </c>
      <c r="J143" s="20"/>
      <c r="K143" s="20"/>
      <c r="L143" s="20"/>
      <c r="M143" s="20"/>
      <c r="N143" s="20"/>
      <c r="O143" s="20">
        <f t="shared" si="29"/>
        <v>0</v>
      </c>
      <c r="P143" s="20">
        <f t="shared" si="29"/>
        <v>1277216</v>
      </c>
      <c r="Q143" s="20"/>
      <c r="R143" s="20"/>
      <c r="S143" s="20"/>
      <c r="T143" s="20">
        <f t="shared" si="29"/>
        <v>14454166.77</v>
      </c>
      <c r="U143" s="20"/>
      <c r="V143" s="20"/>
      <c r="W143" s="20"/>
      <c r="X143" s="20"/>
      <c r="Y143" s="20">
        <f t="shared" si="29"/>
        <v>17066855.920000002</v>
      </c>
      <c r="Z143" s="20"/>
      <c r="AA143" s="20"/>
      <c r="AB143" s="20"/>
      <c r="AC143" s="20"/>
      <c r="AD143" s="20">
        <f t="shared" si="29"/>
        <v>19517470.530000001</v>
      </c>
    </row>
    <row r="144" spans="1:39" ht="22.5" x14ac:dyDescent="0.25">
      <c r="A144" s="5"/>
      <c r="B144" s="5" t="s">
        <v>30</v>
      </c>
      <c r="C144" s="2" t="s">
        <v>16</v>
      </c>
      <c r="D144" s="11">
        <v>1</v>
      </c>
      <c r="E144" s="11">
        <v>11</v>
      </c>
      <c r="F144" s="11">
        <v>902</v>
      </c>
      <c r="G144" s="11">
        <v>81690</v>
      </c>
      <c r="H144" s="21">
        <v>244</v>
      </c>
      <c r="I144" s="20">
        <v>13926870.77</v>
      </c>
      <c r="J144" s="20"/>
      <c r="K144" s="20"/>
      <c r="L144" s="20"/>
      <c r="M144" s="20"/>
      <c r="N144" s="20"/>
      <c r="O144" s="20">
        <v>0</v>
      </c>
      <c r="P144" s="20">
        <v>1277216</v>
      </c>
      <c r="Q144" s="20"/>
      <c r="R144" s="20"/>
      <c r="S144" s="20">
        <v>-749920</v>
      </c>
      <c r="T144" s="20">
        <f>13926870.77+O144+P144+S144</f>
        <v>14454166.77</v>
      </c>
      <c r="U144" s="20"/>
      <c r="V144" s="20"/>
      <c r="W144" s="20"/>
      <c r="X144" s="20"/>
      <c r="Y144" s="20">
        <v>17066855.920000002</v>
      </c>
      <c r="Z144" s="20"/>
      <c r="AA144" s="20"/>
      <c r="AB144" s="20"/>
      <c r="AC144" s="20"/>
      <c r="AD144" s="20">
        <v>19517470.530000001</v>
      </c>
    </row>
    <row r="145" spans="1:30" x14ac:dyDescent="0.25">
      <c r="A145" s="5"/>
      <c r="B145" s="49" t="s">
        <v>89</v>
      </c>
      <c r="C145" s="19" t="s">
        <v>16</v>
      </c>
      <c r="D145" s="13">
        <v>1</v>
      </c>
      <c r="E145" s="13">
        <v>11</v>
      </c>
      <c r="F145" s="13">
        <v>902</v>
      </c>
      <c r="G145" s="13">
        <v>81700</v>
      </c>
      <c r="H145" s="14"/>
      <c r="I145" s="15">
        <f t="shared" ref="I145:AD147" si="30">I146</f>
        <v>2000000</v>
      </c>
      <c r="J145" s="15">
        <f t="shared" si="30"/>
        <v>500000</v>
      </c>
      <c r="K145" s="15"/>
      <c r="L145" s="15"/>
      <c r="M145" s="15"/>
      <c r="N145" s="15">
        <f t="shared" si="30"/>
        <v>300000</v>
      </c>
      <c r="O145" s="15"/>
      <c r="P145" s="15"/>
      <c r="Q145" s="15"/>
      <c r="R145" s="15"/>
      <c r="S145" s="15"/>
      <c r="T145" s="15">
        <f t="shared" si="30"/>
        <v>2800000</v>
      </c>
      <c r="U145" s="15"/>
      <c r="V145" s="15"/>
      <c r="W145" s="15"/>
      <c r="X145" s="15"/>
      <c r="Y145" s="15">
        <f t="shared" si="30"/>
        <v>3000000</v>
      </c>
      <c r="Z145" s="15"/>
      <c r="AA145" s="15"/>
      <c r="AB145" s="15"/>
      <c r="AC145" s="15"/>
      <c r="AD145" s="15">
        <f t="shared" si="30"/>
        <v>3000000</v>
      </c>
    </row>
    <row r="146" spans="1:30" ht="22.5" x14ac:dyDescent="0.25">
      <c r="A146" s="5"/>
      <c r="B146" s="5" t="s">
        <v>26</v>
      </c>
      <c r="C146" s="2" t="s">
        <v>16</v>
      </c>
      <c r="D146" s="11">
        <v>1</v>
      </c>
      <c r="E146" s="11">
        <v>11</v>
      </c>
      <c r="F146" s="11">
        <v>902</v>
      </c>
      <c r="G146" s="11">
        <v>81700</v>
      </c>
      <c r="H146" s="21">
        <v>200</v>
      </c>
      <c r="I146" s="20">
        <f t="shared" si="30"/>
        <v>2000000</v>
      </c>
      <c r="J146" s="20">
        <f t="shared" si="30"/>
        <v>500000</v>
      </c>
      <c r="K146" s="20"/>
      <c r="L146" s="20"/>
      <c r="M146" s="20"/>
      <c r="N146" s="20">
        <f t="shared" si="30"/>
        <v>300000</v>
      </c>
      <c r="O146" s="20"/>
      <c r="P146" s="20"/>
      <c r="Q146" s="20"/>
      <c r="R146" s="20"/>
      <c r="S146" s="20"/>
      <c r="T146" s="20">
        <f t="shared" si="30"/>
        <v>2800000</v>
      </c>
      <c r="U146" s="20"/>
      <c r="V146" s="20"/>
      <c r="W146" s="20"/>
      <c r="X146" s="20"/>
      <c r="Y146" s="20">
        <f t="shared" si="30"/>
        <v>3000000</v>
      </c>
      <c r="Z146" s="20"/>
      <c r="AA146" s="20"/>
      <c r="AB146" s="20"/>
      <c r="AC146" s="20"/>
      <c r="AD146" s="20">
        <f t="shared" si="30"/>
        <v>3000000</v>
      </c>
    </row>
    <row r="147" spans="1:30" ht="22.5" x14ac:dyDescent="0.25">
      <c r="A147" s="5"/>
      <c r="B147" s="5" t="s">
        <v>28</v>
      </c>
      <c r="C147" s="2" t="s">
        <v>16</v>
      </c>
      <c r="D147" s="11">
        <v>1</v>
      </c>
      <c r="E147" s="11">
        <v>11</v>
      </c>
      <c r="F147" s="11">
        <v>902</v>
      </c>
      <c r="G147" s="11">
        <v>81700</v>
      </c>
      <c r="H147" s="21">
        <v>240</v>
      </c>
      <c r="I147" s="20">
        <f t="shared" si="30"/>
        <v>2000000</v>
      </c>
      <c r="J147" s="20">
        <f t="shared" si="30"/>
        <v>500000</v>
      </c>
      <c r="K147" s="20"/>
      <c r="L147" s="20"/>
      <c r="M147" s="20"/>
      <c r="N147" s="20">
        <f t="shared" si="30"/>
        <v>300000</v>
      </c>
      <c r="O147" s="20"/>
      <c r="P147" s="20"/>
      <c r="Q147" s="20"/>
      <c r="R147" s="20"/>
      <c r="S147" s="20"/>
      <c r="T147" s="20">
        <f t="shared" si="30"/>
        <v>2800000</v>
      </c>
      <c r="U147" s="20"/>
      <c r="V147" s="20"/>
      <c r="W147" s="20"/>
      <c r="X147" s="20"/>
      <c r="Y147" s="20">
        <f t="shared" si="30"/>
        <v>3000000</v>
      </c>
      <c r="Z147" s="20"/>
      <c r="AA147" s="20"/>
      <c r="AB147" s="20"/>
      <c r="AC147" s="20"/>
      <c r="AD147" s="20">
        <f t="shared" si="30"/>
        <v>3000000</v>
      </c>
    </row>
    <row r="148" spans="1:30" ht="22.5" x14ac:dyDescent="0.25">
      <c r="A148" s="5"/>
      <c r="B148" s="5" t="s">
        <v>30</v>
      </c>
      <c r="C148" s="2" t="s">
        <v>16</v>
      </c>
      <c r="D148" s="11">
        <v>1</v>
      </c>
      <c r="E148" s="11">
        <v>11</v>
      </c>
      <c r="F148" s="11">
        <v>902</v>
      </c>
      <c r="G148" s="11">
        <v>81700</v>
      </c>
      <c r="H148" s="21">
        <v>244</v>
      </c>
      <c r="I148" s="20">
        <v>2000000</v>
      </c>
      <c r="J148" s="20">
        <v>500000</v>
      </c>
      <c r="K148" s="20"/>
      <c r="L148" s="20"/>
      <c r="M148" s="20"/>
      <c r="N148" s="20">
        <v>300000</v>
      </c>
      <c r="O148" s="20"/>
      <c r="P148" s="20"/>
      <c r="Q148" s="20"/>
      <c r="R148" s="20"/>
      <c r="S148" s="20"/>
      <c r="T148" s="20">
        <f>2000000+J148+N148</f>
        <v>2800000</v>
      </c>
      <c r="U148" s="20"/>
      <c r="V148" s="20"/>
      <c r="W148" s="20"/>
      <c r="X148" s="20"/>
      <c r="Y148" s="20">
        <v>3000000</v>
      </c>
      <c r="Z148" s="20"/>
      <c r="AA148" s="20"/>
      <c r="AB148" s="20"/>
      <c r="AC148" s="20"/>
      <c r="AD148" s="20">
        <v>3000000</v>
      </c>
    </row>
    <row r="149" spans="1:30" ht="21" x14ac:dyDescent="0.25">
      <c r="A149" s="5"/>
      <c r="B149" s="49" t="s">
        <v>90</v>
      </c>
      <c r="C149" s="19" t="s">
        <v>16</v>
      </c>
      <c r="D149" s="13">
        <v>1</v>
      </c>
      <c r="E149" s="13">
        <v>11</v>
      </c>
      <c r="F149" s="13">
        <v>902</v>
      </c>
      <c r="G149" s="13">
        <v>81710</v>
      </c>
      <c r="H149" s="14"/>
      <c r="I149" s="15">
        <f t="shared" ref="I149:AD151" si="31">I150</f>
        <v>0</v>
      </c>
      <c r="J149" s="15">
        <f t="shared" si="31"/>
        <v>1000000</v>
      </c>
      <c r="K149" s="15"/>
      <c r="L149" s="15">
        <f t="shared" si="31"/>
        <v>135570</v>
      </c>
      <c r="M149" s="15"/>
      <c r="N149" s="15"/>
      <c r="O149" s="15"/>
      <c r="P149" s="15"/>
      <c r="Q149" s="15"/>
      <c r="R149" s="15"/>
      <c r="S149" s="15"/>
      <c r="T149" s="15">
        <f t="shared" si="31"/>
        <v>1135570</v>
      </c>
      <c r="U149" s="15"/>
      <c r="V149" s="15"/>
      <c r="W149" s="15"/>
      <c r="X149" s="15"/>
      <c r="Y149" s="15">
        <f t="shared" si="31"/>
        <v>0</v>
      </c>
      <c r="Z149" s="15"/>
      <c r="AA149" s="15"/>
      <c r="AB149" s="15"/>
      <c r="AC149" s="15"/>
      <c r="AD149" s="15">
        <f t="shared" si="31"/>
        <v>0</v>
      </c>
    </row>
    <row r="150" spans="1:30" ht="22.5" x14ac:dyDescent="0.25">
      <c r="A150" s="5"/>
      <c r="B150" s="5" t="s">
        <v>26</v>
      </c>
      <c r="C150" s="2" t="s">
        <v>16</v>
      </c>
      <c r="D150" s="11">
        <v>1</v>
      </c>
      <c r="E150" s="11">
        <v>11</v>
      </c>
      <c r="F150" s="11">
        <v>902</v>
      </c>
      <c r="G150" s="11">
        <v>81710</v>
      </c>
      <c r="H150" s="21">
        <v>200</v>
      </c>
      <c r="I150" s="20">
        <f t="shared" si="31"/>
        <v>0</v>
      </c>
      <c r="J150" s="20">
        <f t="shared" si="31"/>
        <v>1000000</v>
      </c>
      <c r="K150" s="20"/>
      <c r="L150" s="20">
        <f t="shared" si="31"/>
        <v>135570</v>
      </c>
      <c r="M150" s="20"/>
      <c r="N150" s="20"/>
      <c r="O150" s="20"/>
      <c r="P150" s="20"/>
      <c r="Q150" s="20"/>
      <c r="R150" s="20"/>
      <c r="S150" s="20"/>
      <c r="T150" s="20">
        <f t="shared" si="31"/>
        <v>1135570</v>
      </c>
      <c r="U150" s="20"/>
      <c r="V150" s="20"/>
      <c r="W150" s="20"/>
      <c r="X150" s="20"/>
      <c r="Y150" s="20">
        <f t="shared" si="31"/>
        <v>0</v>
      </c>
      <c r="Z150" s="20"/>
      <c r="AA150" s="20"/>
      <c r="AB150" s="20"/>
      <c r="AC150" s="20"/>
      <c r="AD150" s="20">
        <f t="shared" si="31"/>
        <v>0</v>
      </c>
    </row>
    <row r="151" spans="1:30" ht="22.5" x14ac:dyDescent="0.25">
      <c r="A151" s="5"/>
      <c r="B151" s="5" t="s">
        <v>28</v>
      </c>
      <c r="C151" s="2" t="s">
        <v>16</v>
      </c>
      <c r="D151" s="11">
        <v>1</v>
      </c>
      <c r="E151" s="11">
        <v>11</v>
      </c>
      <c r="F151" s="11">
        <v>902</v>
      </c>
      <c r="G151" s="11">
        <v>81710</v>
      </c>
      <c r="H151" s="21">
        <v>240</v>
      </c>
      <c r="I151" s="20">
        <f t="shared" si="31"/>
        <v>0</v>
      </c>
      <c r="J151" s="20">
        <f t="shared" si="31"/>
        <v>1000000</v>
      </c>
      <c r="K151" s="20"/>
      <c r="L151" s="20">
        <f t="shared" si="31"/>
        <v>135570</v>
      </c>
      <c r="M151" s="20"/>
      <c r="N151" s="20"/>
      <c r="O151" s="20"/>
      <c r="P151" s="20"/>
      <c r="Q151" s="20"/>
      <c r="R151" s="20"/>
      <c r="S151" s="20"/>
      <c r="T151" s="20">
        <f t="shared" si="31"/>
        <v>1135570</v>
      </c>
      <c r="U151" s="20"/>
      <c r="V151" s="20"/>
      <c r="W151" s="20"/>
      <c r="X151" s="20"/>
      <c r="Y151" s="20">
        <f t="shared" si="31"/>
        <v>0</v>
      </c>
      <c r="Z151" s="20"/>
      <c r="AA151" s="20"/>
      <c r="AB151" s="20"/>
      <c r="AC151" s="20"/>
      <c r="AD151" s="20">
        <f t="shared" si="31"/>
        <v>0</v>
      </c>
    </row>
    <row r="152" spans="1:30" ht="22.5" x14ac:dyDescent="0.25">
      <c r="A152" s="5"/>
      <c r="B152" s="5" t="s">
        <v>30</v>
      </c>
      <c r="C152" s="2" t="s">
        <v>16</v>
      </c>
      <c r="D152" s="11">
        <v>1</v>
      </c>
      <c r="E152" s="11">
        <v>11</v>
      </c>
      <c r="F152" s="11">
        <v>902</v>
      </c>
      <c r="G152" s="11">
        <v>81710</v>
      </c>
      <c r="H152" s="21">
        <v>244</v>
      </c>
      <c r="I152" s="20">
        <v>0</v>
      </c>
      <c r="J152" s="20">
        <v>1000000</v>
      </c>
      <c r="K152" s="20"/>
      <c r="L152" s="20">
        <v>135570</v>
      </c>
      <c r="M152" s="20"/>
      <c r="N152" s="20"/>
      <c r="O152" s="20"/>
      <c r="P152" s="20"/>
      <c r="Q152" s="20"/>
      <c r="R152" s="20"/>
      <c r="S152" s="20"/>
      <c r="T152" s="20">
        <f>J152+L152</f>
        <v>1135570</v>
      </c>
      <c r="U152" s="20"/>
      <c r="V152" s="20"/>
      <c r="W152" s="20"/>
      <c r="X152" s="20"/>
      <c r="Y152" s="20">
        <v>0</v>
      </c>
      <c r="Z152" s="20"/>
      <c r="AA152" s="20"/>
      <c r="AB152" s="20"/>
      <c r="AC152" s="20"/>
      <c r="AD152" s="20">
        <v>0</v>
      </c>
    </row>
    <row r="153" spans="1:30" ht="21" x14ac:dyDescent="0.25">
      <c r="A153" s="5"/>
      <c r="B153" s="49" t="s">
        <v>91</v>
      </c>
      <c r="C153" s="19" t="s">
        <v>16</v>
      </c>
      <c r="D153" s="13">
        <v>1</v>
      </c>
      <c r="E153" s="13">
        <v>11</v>
      </c>
      <c r="F153" s="13">
        <v>902</v>
      </c>
      <c r="G153" s="13">
        <v>81720</v>
      </c>
      <c r="H153" s="14"/>
      <c r="I153" s="15">
        <f t="shared" ref="I153:AD155" si="32">I154</f>
        <v>1000000</v>
      </c>
      <c r="J153" s="15">
        <f t="shared" si="32"/>
        <v>-1000000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>
        <f t="shared" si="32"/>
        <v>0</v>
      </c>
      <c r="U153" s="15"/>
      <c r="V153" s="15"/>
      <c r="W153" s="15"/>
      <c r="X153" s="15"/>
      <c r="Y153" s="15">
        <f t="shared" si="32"/>
        <v>300000</v>
      </c>
      <c r="Z153" s="15"/>
      <c r="AA153" s="15"/>
      <c r="AB153" s="15"/>
      <c r="AC153" s="15"/>
      <c r="AD153" s="15">
        <f t="shared" si="32"/>
        <v>300000</v>
      </c>
    </row>
    <row r="154" spans="1:30" ht="22.5" x14ac:dyDescent="0.25">
      <c r="A154" s="5"/>
      <c r="B154" s="5" t="s">
        <v>26</v>
      </c>
      <c r="C154" s="2" t="s">
        <v>16</v>
      </c>
      <c r="D154" s="11">
        <v>1</v>
      </c>
      <c r="E154" s="11">
        <v>11</v>
      </c>
      <c r="F154" s="11">
        <v>902</v>
      </c>
      <c r="G154" s="11">
        <v>81720</v>
      </c>
      <c r="H154" s="21">
        <v>200</v>
      </c>
      <c r="I154" s="20">
        <f t="shared" si="32"/>
        <v>1000000</v>
      </c>
      <c r="J154" s="20">
        <f t="shared" si="32"/>
        <v>-1000000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>
        <f t="shared" si="32"/>
        <v>0</v>
      </c>
      <c r="U154" s="20"/>
      <c r="V154" s="20"/>
      <c r="W154" s="20"/>
      <c r="X154" s="20"/>
      <c r="Y154" s="20">
        <f t="shared" si="32"/>
        <v>300000</v>
      </c>
      <c r="Z154" s="20"/>
      <c r="AA154" s="20"/>
      <c r="AB154" s="20"/>
      <c r="AC154" s="20"/>
      <c r="AD154" s="20">
        <f t="shared" si="32"/>
        <v>300000</v>
      </c>
    </row>
    <row r="155" spans="1:30" ht="22.5" x14ac:dyDescent="0.25">
      <c r="A155" s="5"/>
      <c r="B155" s="5" t="s">
        <v>28</v>
      </c>
      <c r="C155" s="2" t="s">
        <v>16</v>
      </c>
      <c r="D155" s="11">
        <v>1</v>
      </c>
      <c r="E155" s="11">
        <v>11</v>
      </c>
      <c r="F155" s="11">
        <v>902</v>
      </c>
      <c r="G155" s="11">
        <v>81720</v>
      </c>
      <c r="H155" s="21">
        <v>240</v>
      </c>
      <c r="I155" s="20">
        <f t="shared" si="32"/>
        <v>1000000</v>
      </c>
      <c r="J155" s="20">
        <f t="shared" si="32"/>
        <v>-1000000</v>
      </c>
      <c r="K155" s="20"/>
      <c r="L155" s="20"/>
      <c r="M155" s="20"/>
      <c r="N155" s="20"/>
      <c r="O155" s="20"/>
      <c r="P155" s="20"/>
      <c r="Q155" s="20"/>
      <c r="R155" s="20"/>
      <c r="S155" s="20"/>
      <c r="T155" s="20">
        <f t="shared" si="32"/>
        <v>0</v>
      </c>
      <c r="U155" s="20"/>
      <c r="V155" s="20"/>
      <c r="W155" s="20"/>
      <c r="X155" s="20"/>
      <c r="Y155" s="20">
        <f t="shared" si="32"/>
        <v>300000</v>
      </c>
      <c r="Z155" s="20"/>
      <c r="AA155" s="20"/>
      <c r="AB155" s="20"/>
      <c r="AC155" s="20"/>
      <c r="AD155" s="20">
        <f t="shared" si="32"/>
        <v>300000</v>
      </c>
    </row>
    <row r="156" spans="1:30" ht="22.5" x14ac:dyDescent="0.25">
      <c r="A156" s="5"/>
      <c r="B156" s="5" t="s">
        <v>30</v>
      </c>
      <c r="C156" s="2" t="s">
        <v>16</v>
      </c>
      <c r="D156" s="11">
        <v>1</v>
      </c>
      <c r="E156" s="11">
        <v>11</v>
      </c>
      <c r="F156" s="11">
        <v>902</v>
      </c>
      <c r="G156" s="11">
        <v>81720</v>
      </c>
      <c r="H156" s="21">
        <v>244</v>
      </c>
      <c r="I156" s="20">
        <v>1000000</v>
      </c>
      <c r="J156" s="20">
        <v>-1000000</v>
      </c>
      <c r="K156" s="20"/>
      <c r="L156" s="20"/>
      <c r="M156" s="20"/>
      <c r="N156" s="20"/>
      <c r="O156" s="20"/>
      <c r="P156" s="20"/>
      <c r="Q156" s="20"/>
      <c r="R156" s="20"/>
      <c r="S156" s="20"/>
      <c r="T156" s="20">
        <f>1000000+J156</f>
        <v>0</v>
      </c>
      <c r="U156" s="20"/>
      <c r="V156" s="20"/>
      <c r="W156" s="20"/>
      <c r="X156" s="20"/>
      <c r="Y156" s="20">
        <v>300000</v>
      </c>
      <c r="Z156" s="20"/>
      <c r="AA156" s="20"/>
      <c r="AB156" s="20"/>
      <c r="AC156" s="20"/>
      <c r="AD156" s="20">
        <v>300000</v>
      </c>
    </row>
    <row r="157" spans="1:30" x14ac:dyDescent="0.25">
      <c r="A157" s="5"/>
      <c r="B157" s="49" t="s">
        <v>92</v>
      </c>
      <c r="C157" s="19" t="s">
        <v>16</v>
      </c>
      <c r="D157" s="13">
        <v>1</v>
      </c>
      <c r="E157" s="13">
        <v>11</v>
      </c>
      <c r="F157" s="13">
        <v>902</v>
      </c>
      <c r="G157" s="13">
        <v>81730</v>
      </c>
      <c r="H157" s="14"/>
      <c r="I157" s="15">
        <f t="shared" ref="I157:AD159" si="33">I158</f>
        <v>4220000</v>
      </c>
      <c r="J157" s="15">
        <f>J158+J164</f>
        <v>362200</v>
      </c>
      <c r="K157" s="15">
        <f>K158+K164</f>
        <v>20000000</v>
      </c>
      <c r="L157" s="15">
        <f t="shared" ref="L157:T157" si="34">L158+L164+L161</f>
        <v>93789.02</v>
      </c>
      <c r="M157" s="15">
        <f t="shared" si="34"/>
        <v>-617871.71</v>
      </c>
      <c r="N157" s="15">
        <f t="shared" si="34"/>
        <v>-280000</v>
      </c>
      <c r="O157" s="15">
        <f t="shared" si="34"/>
        <v>0</v>
      </c>
      <c r="P157" s="15">
        <f t="shared" si="34"/>
        <v>57961610</v>
      </c>
      <c r="Q157" s="15"/>
      <c r="R157" s="15">
        <f t="shared" si="34"/>
        <v>-145000</v>
      </c>
      <c r="S157" s="15"/>
      <c r="T157" s="15">
        <f t="shared" si="34"/>
        <v>81317407.150000006</v>
      </c>
      <c r="U157" s="15">
        <f t="shared" ref="U157:AD157" si="35">U158+U164+U161</f>
        <v>0</v>
      </c>
      <c r="V157" s="15">
        <f t="shared" si="35"/>
        <v>0</v>
      </c>
      <c r="W157" s="15"/>
      <c r="X157" s="15"/>
      <c r="Y157" s="15">
        <f t="shared" si="35"/>
        <v>48183436</v>
      </c>
      <c r="Z157" s="15">
        <f t="shared" si="35"/>
        <v>0</v>
      </c>
      <c r="AA157" s="15">
        <f t="shared" si="35"/>
        <v>0</v>
      </c>
      <c r="AB157" s="15"/>
      <c r="AC157" s="15"/>
      <c r="AD157" s="15">
        <f t="shared" si="35"/>
        <v>987000</v>
      </c>
    </row>
    <row r="158" spans="1:30" ht="22.5" x14ac:dyDescent="0.25">
      <c r="A158" s="5"/>
      <c r="B158" s="5" t="s">
        <v>26</v>
      </c>
      <c r="C158" s="2" t="s">
        <v>16</v>
      </c>
      <c r="D158" s="11">
        <v>1</v>
      </c>
      <c r="E158" s="11">
        <v>11</v>
      </c>
      <c r="F158" s="11">
        <v>902</v>
      </c>
      <c r="G158" s="11">
        <v>81730</v>
      </c>
      <c r="H158" s="21">
        <v>200</v>
      </c>
      <c r="I158" s="20">
        <f t="shared" si="33"/>
        <v>4220000</v>
      </c>
      <c r="J158" s="20">
        <f t="shared" si="33"/>
        <v>192200</v>
      </c>
      <c r="K158" s="20">
        <f t="shared" si="33"/>
        <v>20000000</v>
      </c>
      <c r="L158" s="20">
        <f t="shared" si="33"/>
        <v>93789.02</v>
      </c>
      <c r="M158" s="20">
        <f t="shared" si="33"/>
        <v>-1312155.71</v>
      </c>
      <c r="N158" s="20">
        <f t="shared" si="33"/>
        <v>-280000</v>
      </c>
      <c r="O158" s="20">
        <f t="shared" si="33"/>
        <v>694284</v>
      </c>
      <c r="P158" s="20">
        <f t="shared" si="33"/>
        <v>57961610</v>
      </c>
      <c r="Q158" s="20"/>
      <c r="R158" s="20"/>
      <c r="S158" s="20"/>
      <c r="T158" s="20">
        <f t="shared" si="33"/>
        <v>81292407.150000006</v>
      </c>
      <c r="U158" s="20"/>
      <c r="V158" s="20"/>
      <c r="W158" s="20"/>
      <c r="X158" s="20"/>
      <c r="Y158" s="20">
        <f t="shared" si="33"/>
        <v>48183436</v>
      </c>
      <c r="Z158" s="20"/>
      <c r="AA158" s="20"/>
      <c r="AB158" s="20"/>
      <c r="AC158" s="20"/>
      <c r="AD158" s="20">
        <f t="shared" si="33"/>
        <v>987000</v>
      </c>
    </row>
    <row r="159" spans="1:30" ht="22.5" x14ac:dyDescent="0.25">
      <c r="A159" s="5"/>
      <c r="B159" s="5" t="s">
        <v>28</v>
      </c>
      <c r="C159" s="2" t="s">
        <v>16</v>
      </c>
      <c r="D159" s="11">
        <v>1</v>
      </c>
      <c r="E159" s="11">
        <v>11</v>
      </c>
      <c r="F159" s="11">
        <v>902</v>
      </c>
      <c r="G159" s="11">
        <v>81730</v>
      </c>
      <c r="H159" s="21">
        <v>240</v>
      </c>
      <c r="I159" s="20">
        <f t="shared" si="33"/>
        <v>4220000</v>
      </c>
      <c r="J159" s="20">
        <f t="shared" si="33"/>
        <v>192200</v>
      </c>
      <c r="K159" s="20">
        <f t="shared" si="33"/>
        <v>20000000</v>
      </c>
      <c r="L159" s="20">
        <f t="shared" si="33"/>
        <v>93789.02</v>
      </c>
      <c r="M159" s="20">
        <f t="shared" si="33"/>
        <v>-1312155.71</v>
      </c>
      <c r="N159" s="20">
        <f t="shared" si="33"/>
        <v>-280000</v>
      </c>
      <c r="O159" s="20">
        <f t="shared" si="33"/>
        <v>694284</v>
      </c>
      <c r="P159" s="20">
        <f t="shared" si="33"/>
        <v>57961610</v>
      </c>
      <c r="Q159" s="20"/>
      <c r="R159" s="20"/>
      <c r="S159" s="20"/>
      <c r="T159" s="20">
        <f t="shared" si="33"/>
        <v>81292407.150000006</v>
      </c>
      <c r="U159" s="20"/>
      <c r="V159" s="20"/>
      <c r="W159" s="20"/>
      <c r="X159" s="20"/>
      <c r="Y159" s="20">
        <f t="shared" si="33"/>
        <v>48183436</v>
      </c>
      <c r="Z159" s="20"/>
      <c r="AA159" s="20"/>
      <c r="AB159" s="20"/>
      <c r="AC159" s="20"/>
      <c r="AD159" s="20">
        <f t="shared" si="33"/>
        <v>987000</v>
      </c>
    </row>
    <row r="160" spans="1:30" ht="51" customHeight="1" x14ac:dyDescent="0.25">
      <c r="A160" s="5"/>
      <c r="B160" s="5" t="s">
        <v>30</v>
      </c>
      <c r="C160" s="2" t="s">
        <v>16</v>
      </c>
      <c r="D160" s="11">
        <v>1</v>
      </c>
      <c r="E160" s="11">
        <v>11</v>
      </c>
      <c r="F160" s="11">
        <v>902</v>
      </c>
      <c r="G160" s="11">
        <v>81730</v>
      </c>
      <c r="H160" s="21">
        <v>244</v>
      </c>
      <c r="I160" s="20">
        <v>4220000</v>
      </c>
      <c r="J160" s="20">
        <v>192200</v>
      </c>
      <c r="K160" s="20">
        <v>20000000</v>
      </c>
      <c r="L160" s="20">
        <v>93789.02</v>
      </c>
      <c r="M160" s="20">
        <v>-1312155.71</v>
      </c>
      <c r="N160" s="20">
        <v>-280000</v>
      </c>
      <c r="O160" s="20">
        <v>694284</v>
      </c>
      <c r="P160" s="20">
        <v>57961610</v>
      </c>
      <c r="Q160" s="20"/>
      <c r="R160" s="20"/>
      <c r="S160" s="20">
        <v>-277320.15999999997</v>
      </c>
      <c r="T160" s="20">
        <f>4220000+J160+K160+L160+M160+N160+O160+P160+S160</f>
        <v>81292407.150000006</v>
      </c>
      <c r="U160" s="20"/>
      <c r="V160" s="20"/>
      <c r="W160" s="20">
        <v>47183436</v>
      </c>
      <c r="X160" s="20"/>
      <c r="Y160" s="20">
        <f>1000000+W160</f>
        <v>48183436</v>
      </c>
      <c r="Z160" s="20"/>
      <c r="AA160" s="20"/>
      <c r="AB160" s="20"/>
      <c r="AC160" s="20"/>
      <c r="AD160" s="20">
        <v>987000</v>
      </c>
    </row>
    <row r="161" spans="1:30" ht="51" customHeight="1" x14ac:dyDescent="0.25">
      <c r="A161" s="5"/>
      <c r="B161" s="5" t="s">
        <v>70</v>
      </c>
      <c r="C161" s="2" t="s">
        <v>16</v>
      </c>
      <c r="D161" s="11">
        <v>1</v>
      </c>
      <c r="E161" s="11">
        <v>11</v>
      </c>
      <c r="F161" s="11">
        <v>902</v>
      </c>
      <c r="G161" s="11">
        <v>81730</v>
      </c>
      <c r="H161" s="21">
        <v>400</v>
      </c>
      <c r="I161" s="20"/>
      <c r="J161" s="20"/>
      <c r="K161" s="20"/>
      <c r="L161" s="20">
        <f>L162</f>
        <v>0</v>
      </c>
      <c r="M161" s="20"/>
      <c r="N161" s="20"/>
      <c r="O161" s="20"/>
      <c r="P161" s="20"/>
      <c r="Q161" s="20"/>
      <c r="R161" s="20"/>
      <c r="S161" s="20"/>
      <c r="T161" s="20">
        <f>T162</f>
        <v>0</v>
      </c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x14ac:dyDescent="0.25">
      <c r="A162" s="5"/>
      <c r="B162" s="5" t="s">
        <v>71</v>
      </c>
      <c r="C162" s="2" t="s">
        <v>16</v>
      </c>
      <c r="D162" s="11">
        <v>1</v>
      </c>
      <c r="E162" s="11">
        <v>11</v>
      </c>
      <c r="F162" s="11">
        <v>902</v>
      </c>
      <c r="G162" s="11">
        <v>81730</v>
      </c>
      <c r="H162" s="21">
        <v>410</v>
      </c>
      <c r="I162" s="20"/>
      <c r="J162" s="20"/>
      <c r="K162" s="20"/>
      <c r="L162" s="20">
        <f>L163</f>
        <v>0</v>
      </c>
      <c r="M162" s="20"/>
      <c r="N162" s="20"/>
      <c r="O162" s="20"/>
      <c r="P162" s="20"/>
      <c r="Q162" s="20"/>
      <c r="R162" s="20"/>
      <c r="S162" s="20"/>
      <c r="T162" s="20">
        <f>T163</f>
        <v>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ht="51" customHeight="1" x14ac:dyDescent="0.25">
      <c r="A163" s="5"/>
      <c r="B163" s="5" t="s">
        <v>94</v>
      </c>
      <c r="C163" s="2" t="s">
        <v>16</v>
      </c>
      <c r="D163" s="11">
        <v>1</v>
      </c>
      <c r="E163" s="11">
        <v>11</v>
      </c>
      <c r="F163" s="11">
        <v>902</v>
      </c>
      <c r="G163" s="11">
        <v>81730</v>
      </c>
      <c r="H163" s="21">
        <v>414</v>
      </c>
      <c r="I163" s="20"/>
      <c r="J163" s="20"/>
      <c r="K163" s="20"/>
      <c r="L163" s="20">
        <v>0</v>
      </c>
      <c r="M163" s="20"/>
      <c r="N163" s="20"/>
      <c r="O163" s="20"/>
      <c r="P163" s="20"/>
      <c r="Q163" s="20"/>
      <c r="R163" s="20"/>
      <c r="S163" s="20"/>
      <c r="T163" s="20">
        <f>L163</f>
        <v>0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x14ac:dyDescent="0.25">
      <c r="A164" s="5"/>
      <c r="B164" s="5" t="s">
        <v>59</v>
      </c>
      <c r="C164" s="2" t="s">
        <v>16</v>
      </c>
      <c r="D164" s="11">
        <v>1</v>
      </c>
      <c r="E164" s="11">
        <v>11</v>
      </c>
      <c r="F164" s="11">
        <v>902</v>
      </c>
      <c r="G164" s="11">
        <v>81730</v>
      </c>
      <c r="H164" s="21">
        <v>800</v>
      </c>
      <c r="I164" s="20"/>
      <c r="J164" s="20">
        <f>J165</f>
        <v>170000</v>
      </c>
      <c r="K164" s="20"/>
      <c r="L164" s="20"/>
      <c r="M164" s="20">
        <f>M165</f>
        <v>694284</v>
      </c>
      <c r="N164" s="20"/>
      <c r="O164" s="20">
        <f>O165</f>
        <v>-694284</v>
      </c>
      <c r="P164" s="20"/>
      <c r="Q164" s="20"/>
      <c r="R164" s="20">
        <f>R165</f>
        <v>-145000</v>
      </c>
      <c r="S164" s="20"/>
      <c r="T164" s="20">
        <f>T165</f>
        <v>25000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ht="45" x14ac:dyDescent="0.25">
      <c r="A165" s="5"/>
      <c r="B165" s="5" t="s">
        <v>86</v>
      </c>
      <c r="C165" s="2" t="s">
        <v>16</v>
      </c>
      <c r="D165" s="11">
        <v>1</v>
      </c>
      <c r="E165" s="11">
        <v>11</v>
      </c>
      <c r="F165" s="11">
        <v>902</v>
      </c>
      <c r="G165" s="11">
        <v>81730</v>
      </c>
      <c r="H165" s="21">
        <v>810</v>
      </c>
      <c r="I165" s="20"/>
      <c r="J165" s="20">
        <f>J166</f>
        <v>170000</v>
      </c>
      <c r="K165" s="20"/>
      <c r="L165" s="20"/>
      <c r="M165" s="20">
        <f>M166</f>
        <v>694284</v>
      </c>
      <c r="N165" s="20"/>
      <c r="O165" s="20">
        <f>O166</f>
        <v>-694284</v>
      </c>
      <c r="P165" s="20"/>
      <c r="Q165" s="20"/>
      <c r="R165" s="20">
        <f>R166</f>
        <v>-145000</v>
      </c>
      <c r="S165" s="20"/>
      <c r="T165" s="20">
        <f>T166</f>
        <v>25000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ht="45" x14ac:dyDescent="0.25">
      <c r="A166" s="5"/>
      <c r="B166" s="55" t="s">
        <v>87</v>
      </c>
      <c r="C166" s="2" t="s">
        <v>16</v>
      </c>
      <c r="D166" s="11">
        <v>1</v>
      </c>
      <c r="E166" s="11">
        <v>11</v>
      </c>
      <c r="F166" s="11">
        <v>902</v>
      </c>
      <c r="G166" s="11">
        <v>81730</v>
      </c>
      <c r="H166" s="21">
        <v>811</v>
      </c>
      <c r="I166" s="20"/>
      <c r="J166" s="20">
        <v>170000</v>
      </c>
      <c r="K166" s="20"/>
      <c r="L166" s="20"/>
      <c r="M166" s="20">
        <v>694284</v>
      </c>
      <c r="N166" s="20"/>
      <c r="O166" s="20">
        <v>-694284</v>
      </c>
      <c r="P166" s="20"/>
      <c r="Q166" s="20"/>
      <c r="R166" s="20">
        <v>-145000</v>
      </c>
      <c r="S166" s="20"/>
      <c r="T166" s="20">
        <f>J166+M166+O166+R166</f>
        <v>25000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x14ac:dyDescent="0.25">
      <c r="A167" s="5"/>
      <c r="B167" s="49" t="s">
        <v>93</v>
      </c>
      <c r="C167" s="19" t="s">
        <v>16</v>
      </c>
      <c r="D167" s="13">
        <v>1</v>
      </c>
      <c r="E167" s="13">
        <v>11</v>
      </c>
      <c r="F167" s="13">
        <v>902</v>
      </c>
      <c r="G167" s="13">
        <v>81740</v>
      </c>
      <c r="H167" s="14"/>
      <c r="I167" s="15">
        <f>I168+I171+I174</f>
        <v>0</v>
      </c>
      <c r="J167" s="15">
        <f>J168+J171+J174</f>
        <v>499056.76</v>
      </c>
      <c r="K167" s="15"/>
      <c r="L167" s="15">
        <f>L168+L171+L174</f>
        <v>901061.4</v>
      </c>
      <c r="M167" s="15">
        <f>M168+M171+M174</f>
        <v>63906.5</v>
      </c>
      <c r="N167" s="15"/>
      <c r="O167" s="15">
        <f>O168+O171+O174</f>
        <v>1462470</v>
      </c>
      <c r="P167" s="15">
        <f>P168+P171+P174</f>
        <v>-287001.59999999998</v>
      </c>
      <c r="Q167" s="15"/>
      <c r="R167" s="15">
        <f>R168+R171+R174</f>
        <v>-89728.46</v>
      </c>
      <c r="S167" s="15"/>
      <c r="T167" s="15">
        <f>T168+T171+T174</f>
        <v>2864919.62</v>
      </c>
      <c r="U167" s="15"/>
      <c r="V167" s="15"/>
      <c r="W167" s="15"/>
      <c r="X167" s="15"/>
      <c r="Y167" s="15">
        <f>Y168+Y171+Y174</f>
        <v>0</v>
      </c>
      <c r="Z167" s="15"/>
      <c r="AA167" s="15"/>
      <c r="AB167" s="15"/>
      <c r="AC167" s="15"/>
      <c r="AD167" s="15">
        <f>AD168+AD171+AD174</f>
        <v>0</v>
      </c>
    </row>
    <row r="168" spans="1:30" ht="22.5" x14ac:dyDescent="0.25">
      <c r="A168" s="5"/>
      <c r="B168" s="5" t="s">
        <v>26</v>
      </c>
      <c r="C168" s="2" t="s">
        <v>16</v>
      </c>
      <c r="D168" s="11">
        <v>1</v>
      </c>
      <c r="E168" s="11">
        <v>11</v>
      </c>
      <c r="F168" s="11">
        <v>902</v>
      </c>
      <c r="G168" s="11">
        <v>81740</v>
      </c>
      <c r="H168" s="21">
        <v>200</v>
      </c>
      <c r="I168" s="20">
        <f t="shared" ref="I168:AD169" si="36">I169</f>
        <v>0</v>
      </c>
      <c r="J168" s="20"/>
      <c r="K168" s="20"/>
      <c r="L168" s="20">
        <f t="shared" si="36"/>
        <v>559170</v>
      </c>
      <c r="M168" s="20">
        <f t="shared" si="36"/>
        <v>385</v>
      </c>
      <c r="N168" s="20"/>
      <c r="O168" s="20"/>
      <c r="P168" s="20"/>
      <c r="Q168" s="20"/>
      <c r="R168" s="20"/>
      <c r="S168" s="20"/>
      <c r="T168" s="20">
        <f t="shared" si="36"/>
        <v>584710.02</v>
      </c>
      <c r="U168" s="20"/>
      <c r="V168" s="20"/>
      <c r="W168" s="20"/>
      <c r="X168" s="20"/>
      <c r="Y168" s="20">
        <f t="shared" si="36"/>
        <v>0</v>
      </c>
      <c r="Z168" s="20"/>
      <c r="AA168" s="20"/>
      <c r="AB168" s="20"/>
      <c r="AC168" s="20"/>
      <c r="AD168" s="20">
        <f t="shared" si="36"/>
        <v>0</v>
      </c>
    </row>
    <row r="169" spans="1:30" ht="22.5" x14ac:dyDescent="0.25">
      <c r="A169" s="5"/>
      <c r="B169" s="5" t="s">
        <v>28</v>
      </c>
      <c r="C169" s="2" t="s">
        <v>16</v>
      </c>
      <c r="D169" s="11">
        <v>1</v>
      </c>
      <c r="E169" s="11">
        <v>11</v>
      </c>
      <c r="F169" s="11">
        <v>902</v>
      </c>
      <c r="G169" s="11">
        <v>81740</v>
      </c>
      <c r="H169" s="21">
        <v>240</v>
      </c>
      <c r="I169" s="20">
        <f t="shared" si="36"/>
        <v>0</v>
      </c>
      <c r="J169" s="20"/>
      <c r="K169" s="20"/>
      <c r="L169" s="20">
        <f t="shared" si="36"/>
        <v>559170</v>
      </c>
      <c r="M169" s="20">
        <f t="shared" si="36"/>
        <v>385</v>
      </c>
      <c r="N169" s="20"/>
      <c r="O169" s="20"/>
      <c r="P169" s="20"/>
      <c r="Q169" s="20"/>
      <c r="R169" s="20"/>
      <c r="S169" s="20"/>
      <c r="T169" s="20">
        <f t="shared" si="36"/>
        <v>584710.02</v>
      </c>
      <c r="U169" s="20"/>
      <c r="V169" s="20"/>
      <c r="W169" s="20"/>
      <c r="X169" s="20"/>
      <c r="Y169" s="20">
        <f t="shared" si="36"/>
        <v>0</v>
      </c>
      <c r="Z169" s="20"/>
      <c r="AA169" s="20"/>
      <c r="AB169" s="20"/>
      <c r="AC169" s="20"/>
      <c r="AD169" s="20">
        <f t="shared" si="36"/>
        <v>0</v>
      </c>
    </row>
    <row r="170" spans="1:30" ht="22.5" x14ac:dyDescent="0.25">
      <c r="A170" s="5"/>
      <c r="B170" s="5" t="s">
        <v>30</v>
      </c>
      <c r="C170" s="2" t="s">
        <v>16</v>
      </c>
      <c r="D170" s="11">
        <v>1</v>
      </c>
      <c r="E170" s="11">
        <v>11</v>
      </c>
      <c r="F170" s="11">
        <v>902</v>
      </c>
      <c r="G170" s="11">
        <v>81740</v>
      </c>
      <c r="H170" s="21">
        <v>244</v>
      </c>
      <c r="I170" s="20">
        <v>0</v>
      </c>
      <c r="J170" s="20"/>
      <c r="K170" s="20"/>
      <c r="L170" s="20">
        <v>559170</v>
      </c>
      <c r="M170" s="20">
        <v>385</v>
      </c>
      <c r="N170" s="20"/>
      <c r="O170" s="20"/>
      <c r="P170" s="20"/>
      <c r="Q170" s="20"/>
      <c r="R170" s="20"/>
      <c r="S170" s="20">
        <v>25155.02</v>
      </c>
      <c r="T170" s="20">
        <f>L170+M170+S170</f>
        <v>584710.02</v>
      </c>
      <c r="U170" s="20"/>
      <c r="V170" s="20"/>
      <c r="W170" s="20"/>
      <c r="X170" s="20"/>
      <c r="Y170" s="20">
        <v>0</v>
      </c>
      <c r="Z170" s="20"/>
      <c r="AA170" s="20"/>
      <c r="AB170" s="20"/>
      <c r="AC170" s="20"/>
      <c r="AD170" s="20">
        <v>0</v>
      </c>
    </row>
    <row r="171" spans="1:30" ht="22.5" x14ac:dyDescent="0.25">
      <c r="A171" s="5"/>
      <c r="B171" s="5" t="s">
        <v>70</v>
      </c>
      <c r="C171" s="2" t="s">
        <v>16</v>
      </c>
      <c r="D171" s="11">
        <v>1</v>
      </c>
      <c r="E171" s="11">
        <v>11</v>
      </c>
      <c r="F171" s="11">
        <v>902</v>
      </c>
      <c r="G171" s="11">
        <v>81740</v>
      </c>
      <c r="H171" s="21">
        <v>400</v>
      </c>
      <c r="I171" s="20">
        <f t="shared" ref="I171:AD172" si="37">I172</f>
        <v>0</v>
      </c>
      <c r="J171" s="20">
        <f t="shared" si="37"/>
        <v>499056.76</v>
      </c>
      <c r="K171" s="20"/>
      <c r="L171" s="20">
        <f t="shared" si="37"/>
        <v>341891.4</v>
      </c>
      <c r="M171" s="20">
        <f t="shared" si="37"/>
        <v>63521.5</v>
      </c>
      <c r="N171" s="20"/>
      <c r="O171" s="20">
        <f t="shared" si="37"/>
        <v>1462470</v>
      </c>
      <c r="P171" s="20">
        <f t="shared" si="37"/>
        <v>-287001.59999999998</v>
      </c>
      <c r="Q171" s="20"/>
      <c r="R171" s="20">
        <f t="shared" si="37"/>
        <v>-89728.46</v>
      </c>
      <c r="S171" s="20"/>
      <c r="T171" s="20">
        <f t="shared" si="37"/>
        <v>2280209.6</v>
      </c>
      <c r="U171" s="20"/>
      <c r="V171" s="20"/>
      <c r="W171" s="20"/>
      <c r="X171" s="20"/>
      <c r="Y171" s="20">
        <f t="shared" si="37"/>
        <v>0</v>
      </c>
      <c r="Z171" s="20"/>
      <c r="AA171" s="20"/>
      <c r="AB171" s="20"/>
      <c r="AC171" s="20"/>
      <c r="AD171" s="20">
        <f t="shared" si="37"/>
        <v>0</v>
      </c>
    </row>
    <row r="172" spans="1:30" x14ac:dyDescent="0.25">
      <c r="A172" s="5"/>
      <c r="B172" s="5" t="s">
        <v>71</v>
      </c>
      <c r="C172" s="2" t="s">
        <v>16</v>
      </c>
      <c r="D172" s="11">
        <v>1</v>
      </c>
      <c r="E172" s="11">
        <v>11</v>
      </c>
      <c r="F172" s="11">
        <v>902</v>
      </c>
      <c r="G172" s="11">
        <v>81740</v>
      </c>
      <c r="H172" s="21">
        <v>410</v>
      </c>
      <c r="I172" s="20">
        <f t="shared" si="37"/>
        <v>0</v>
      </c>
      <c r="J172" s="20">
        <f t="shared" si="37"/>
        <v>499056.76</v>
      </c>
      <c r="K172" s="20"/>
      <c r="L172" s="20">
        <f t="shared" si="37"/>
        <v>341891.4</v>
      </c>
      <c r="M172" s="20">
        <f t="shared" si="37"/>
        <v>63521.5</v>
      </c>
      <c r="N172" s="20"/>
      <c r="O172" s="20">
        <f t="shared" si="37"/>
        <v>1462470</v>
      </c>
      <c r="P172" s="20">
        <f t="shared" si="37"/>
        <v>-287001.59999999998</v>
      </c>
      <c r="Q172" s="20"/>
      <c r="R172" s="20">
        <f t="shared" si="37"/>
        <v>-89728.46</v>
      </c>
      <c r="S172" s="20"/>
      <c r="T172" s="20">
        <f t="shared" si="37"/>
        <v>2280209.6</v>
      </c>
      <c r="U172" s="20"/>
      <c r="V172" s="20"/>
      <c r="W172" s="20"/>
      <c r="X172" s="20"/>
      <c r="Y172" s="20">
        <f t="shared" si="37"/>
        <v>0</v>
      </c>
      <c r="Z172" s="20"/>
      <c r="AA172" s="20"/>
      <c r="AB172" s="20"/>
      <c r="AC172" s="20"/>
      <c r="AD172" s="20">
        <f t="shared" si="37"/>
        <v>0</v>
      </c>
    </row>
    <row r="173" spans="1:30" ht="33.75" x14ac:dyDescent="0.25">
      <c r="A173" s="5"/>
      <c r="B173" s="5" t="s">
        <v>94</v>
      </c>
      <c r="C173" s="2" t="s">
        <v>16</v>
      </c>
      <c r="D173" s="11">
        <v>1</v>
      </c>
      <c r="E173" s="11">
        <v>11</v>
      </c>
      <c r="F173" s="11">
        <v>902</v>
      </c>
      <c r="G173" s="11">
        <v>81740</v>
      </c>
      <c r="H173" s="21">
        <v>414</v>
      </c>
      <c r="I173" s="20">
        <v>0</v>
      </c>
      <c r="J173" s="20">
        <v>499056.76</v>
      </c>
      <c r="K173" s="20"/>
      <c r="L173" s="20">
        <v>341891.4</v>
      </c>
      <c r="M173" s="20">
        <v>63521.5</v>
      </c>
      <c r="N173" s="20"/>
      <c r="O173" s="20">
        <v>1462470</v>
      </c>
      <c r="P173" s="20">
        <v>-287001.59999999998</v>
      </c>
      <c r="Q173" s="20"/>
      <c r="R173" s="20">
        <v>-89728.46</v>
      </c>
      <c r="S173" s="20">
        <v>290000</v>
      </c>
      <c r="T173" s="20">
        <f>J173+L173+M173+O173+P173+R173+S173</f>
        <v>2280209.6</v>
      </c>
      <c r="U173" s="20"/>
      <c r="V173" s="20"/>
      <c r="W173" s="20"/>
      <c r="X173" s="20"/>
      <c r="Y173" s="20">
        <v>0</v>
      </c>
      <c r="Z173" s="20"/>
      <c r="AA173" s="20"/>
      <c r="AB173" s="20"/>
      <c r="AC173" s="20"/>
      <c r="AD173" s="20">
        <v>0</v>
      </c>
    </row>
    <row r="174" spans="1:30" hidden="1" x14ac:dyDescent="0.25">
      <c r="A174" s="5"/>
      <c r="B174" s="5" t="s">
        <v>59</v>
      </c>
      <c r="C174" s="2" t="s">
        <v>16</v>
      </c>
      <c r="D174" s="11">
        <v>1</v>
      </c>
      <c r="E174" s="11">
        <v>11</v>
      </c>
      <c r="F174" s="11">
        <v>902</v>
      </c>
      <c r="G174" s="11">
        <v>81740</v>
      </c>
      <c r="H174" s="21">
        <v>800</v>
      </c>
      <c r="I174" s="20">
        <f>I175</f>
        <v>0</v>
      </c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>
        <f>T175</f>
        <v>0</v>
      </c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ht="63.75" hidden="1" customHeight="1" x14ac:dyDescent="0.25">
      <c r="A175" s="5"/>
      <c r="B175" s="5" t="s">
        <v>86</v>
      </c>
      <c r="C175" s="2" t="s">
        <v>16</v>
      </c>
      <c r="D175" s="11">
        <v>1</v>
      </c>
      <c r="E175" s="11">
        <v>11</v>
      </c>
      <c r="F175" s="11">
        <v>902</v>
      </c>
      <c r="G175" s="11">
        <v>81740</v>
      </c>
      <c r="H175" s="21">
        <v>810</v>
      </c>
      <c r="I175" s="20">
        <f>I176</f>
        <v>0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>
        <f>T176</f>
        <v>0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ht="63.75" hidden="1" customHeight="1" x14ac:dyDescent="0.25">
      <c r="A176" s="5"/>
      <c r="B176" s="55" t="s">
        <v>87</v>
      </c>
      <c r="C176" s="2" t="s">
        <v>16</v>
      </c>
      <c r="D176" s="11">
        <v>1</v>
      </c>
      <c r="E176" s="11">
        <v>11</v>
      </c>
      <c r="F176" s="11">
        <v>902</v>
      </c>
      <c r="G176" s="11">
        <v>81740</v>
      </c>
      <c r="H176" s="21">
        <v>811</v>
      </c>
      <c r="I176" s="20">
        <v>0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>
        <v>0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8" ht="21" hidden="1" x14ac:dyDescent="0.25">
      <c r="A177" s="5"/>
      <c r="B177" s="3" t="s">
        <v>95</v>
      </c>
      <c r="C177" s="19" t="s">
        <v>16</v>
      </c>
      <c r="D177" s="13">
        <v>1</v>
      </c>
      <c r="E177" s="13">
        <v>11</v>
      </c>
      <c r="F177" s="13">
        <v>902</v>
      </c>
      <c r="G177" s="13">
        <v>81750</v>
      </c>
      <c r="H177" s="21"/>
      <c r="I177" s="20">
        <f>I178</f>
        <v>0</v>
      </c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>
        <f>T178</f>
        <v>0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8" ht="33.75" hidden="1" x14ac:dyDescent="0.25">
      <c r="A178" s="5"/>
      <c r="B178" s="5" t="s">
        <v>70</v>
      </c>
      <c r="C178" s="2" t="s">
        <v>16</v>
      </c>
      <c r="D178" s="11">
        <v>1</v>
      </c>
      <c r="E178" s="11">
        <v>11</v>
      </c>
      <c r="F178" s="11">
        <v>902</v>
      </c>
      <c r="G178" s="11">
        <v>81750</v>
      </c>
      <c r="H178" s="21">
        <v>400</v>
      </c>
      <c r="I178" s="20">
        <f>I179</f>
        <v>0</v>
      </c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>
        <f>T179</f>
        <v>0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8" hidden="1" x14ac:dyDescent="0.25">
      <c r="A179" s="5"/>
      <c r="B179" s="5" t="s">
        <v>71</v>
      </c>
      <c r="C179" s="2" t="s">
        <v>16</v>
      </c>
      <c r="D179" s="11">
        <v>1</v>
      </c>
      <c r="E179" s="11">
        <v>11</v>
      </c>
      <c r="F179" s="11">
        <v>902</v>
      </c>
      <c r="G179" s="11">
        <v>81750</v>
      </c>
      <c r="H179" s="21">
        <v>410</v>
      </c>
      <c r="I179" s="20">
        <f>I180</f>
        <v>0</v>
      </c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>
        <f>T180</f>
        <v>0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8" ht="63.75" hidden="1" customHeight="1" x14ac:dyDescent="0.25">
      <c r="A180" s="5"/>
      <c r="B180" s="5" t="s">
        <v>94</v>
      </c>
      <c r="C180" s="2" t="s">
        <v>16</v>
      </c>
      <c r="D180" s="11">
        <v>1</v>
      </c>
      <c r="E180" s="11">
        <v>11</v>
      </c>
      <c r="F180" s="11">
        <v>902</v>
      </c>
      <c r="G180" s="11">
        <v>81750</v>
      </c>
      <c r="H180" s="21">
        <v>414</v>
      </c>
      <c r="I180" s="20">
        <v>0</v>
      </c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>
        <v>0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8" ht="44.25" customHeight="1" x14ac:dyDescent="0.25">
      <c r="A181" s="5"/>
      <c r="B181" s="49" t="s">
        <v>96</v>
      </c>
      <c r="C181" s="19" t="s">
        <v>16</v>
      </c>
      <c r="D181" s="13">
        <v>1</v>
      </c>
      <c r="E181" s="13">
        <v>11</v>
      </c>
      <c r="F181" s="13">
        <v>902</v>
      </c>
      <c r="G181" s="13">
        <v>81830</v>
      </c>
      <c r="H181" s="14"/>
      <c r="I181" s="15">
        <f t="shared" ref="I181:AD183" si="38">I182</f>
        <v>1000000</v>
      </c>
      <c r="J181" s="15">
        <f t="shared" si="38"/>
        <v>1000000</v>
      </c>
      <c r="K181" s="15"/>
      <c r="L181" s="15">
        <f t="shared" si="38"/>
        <v>1158365.55</v>
      </c>
      <c r="M181" s="15"/>
      <c r="N181" s="15"/>
      <c r="O181" s="15"/>
      <c r="P181" s="15"/>
      <c r="Q181" s="15"/>
      <c r="R181" s="15"/>
      <c r="S181" s="15"/>
      <c r="T181" s="15">
        <f t="shared" si="38"/>
        <v>3158365.55</v>
      </c>
      <c r="U181" s="15"/>
      <c r="V181" s="15"/>
      <c r="W181" s="15"/>
      <c r="X181" s="15"/>
      <c r="Y181" s="15">
        <f t="shared" si="38"/>
        <v>1000000</v>
      </c>
      <c r="Z181" s="15"/>
      <c r="AA181" s="15"/>
      <c r="AB181" s="15"/>
      <c r="AC181" s="15"/>
      <c r="AD181" s="15">
        <f t="shared" si="38"/>
        <v>1000000</v>
      </c>
    </row>
    <row r="182" spans="1:38" ht="44.25" customHeight="1" x14ac:dyDescent="0.25">
      <c r="A182" s="5"/>
      <c r="B182" s="5" t="s">
        <v>26</v>
      </c>
      <c r="C182" s="2" t="s">
        <v>16</v>
      </c>
      <c r="D182" s="11">
        <v>1</v>
      </c>
      <c r="E182" s="11">
        <v>11</v>
      </c>
      <c r="F182" s="11">
        <v>902</v>
      </c>
      <c r="G182" s="11">
        <v>81830</v>
      </c>
      <c r="H182" s="21">
        <v>200</v>
      </c>
      <c r="I182" s="20">
        <f t="shared" si="38"/>
        <v>1000000</v>
      </c>
      <c r="J182" s="20">
        <f t="shared" si="38"/>
        <v>1000000</v>
      </c>
      <c r="K182" s="20"/>
      <c r="L182" s="20">
        <f t="shared" si="38"/>
        <v>1158365.55</v>
      </c>
      <c r="M182" s="20"/>
      <c r="N182" s="20"/>
      <c r="O182" s="20"/>
      <c r="P182" s="20"/>
      <c r="Q182" s="20"/>
      <c r="R182" s="20"/>
      <c r="S182" s="20"/>
      <c r="T182" s="20">
        <f t="shared" si="38"/>
        <v>3158365.55</v>
      </c>
      <c r="U182" s="20"/>
      <c r="V182" s="20"/>
      <c r="W182" s="20"/>
      <c r="X182" s="20"/>
      <c r="Y182" s="20">
        <f t="shared" si="38"/>
        <v>1000000</v>
      </c>
      <c r="Z182" s="20"/>
      <c r="AA182" s="20"/>
      <c r="AB182" s="20"/>
      <c r="AC182" s="20"/>
      <c r="AD182" s="20">
        <f t="shared" si="38"/>
        <v>1000000</v>
      </c>
    </row>
    <row r="183" spans="1:38" ht="44.25" customHeight="1" x14ac:dyDescent="0.25">
      <c r="A183" s="5"/>
      <c r="B183" s="5" t="s">
        <v>28</v>
      </c>
      <c r="C183" s="2" t="s">
        <v>16</v>
      </c>
      <c r="D183" s="11">
        <v>1</v>
      </c>
      <c r="E183" s="11">
        <v>11</v>
      </c>
      <c r="F183" s="11">
        <v>902</v>
      </c>
      <c r="G183" s="11">
        <v>81830</v>
      </c>
      <c r="H183" s="21">
        <v>240</v>
      </c>
      <c r="I183" s="20">
        <f t="shared" si="38"/>
        <v>1000000</v>
      </c>
      <c r="J183" s="20">
        <f t="shared" si="38"/>
        <v>1000000</v>
      </c>
      <c r="K183" s="20"/>
      <c r="L183" s="20">
        <f t="shared" si="38"/>
        <v>1158365.55</v>
      </c>
      <c r="M183" s="20"/>
      <c r="N183" s="20"/>
      <c r="O183" s="20"/>
      <c r="P183" s="20"/>
      <c r="Q183" s="20"/>
      <c r="R183" s="20"/>
      <c r="S183" s="20"/>
      <c r="T183" s="20">
        <f t="shared" si="38"/>
        <v>3158365.55</v>
      </c>
      <c r="U183" s="20"/>
      <c r="V183" s="20"/>
      <c r="W183" s="20"/>
      <c r="X183" s="20"/>
      <c r="Y183" s="20">
        <f t="shared" si="38"/>
        <v>1000000</v>
      </c>
      <c r="Z183" s="20"/>
      <c r="AA183" s="20"/>
      <c r="AB183" s="20"/>
      <c r="AC183" s="20"/>
      <c r="AD183" s="20">
        <f t="shared" si="38"/>
        <v>1000000</v>
      </c>
    </row>
    <row r="184" spans="1:38" ht="25.5" customHeight="1" x14ac:dyDescent="0.25">
      <c r="A184" s="5"/>
      <c r="B184" s="5" t="s">
        <v>30</v>
      </c>
      <c r="C184" s="2" t="s">
        <v>16</v>
      </c>
      <c r="D184" s="11">
        <v>1</v>
      </c>
      <c r="E184" s="11">
        <v>11</v>
      </c>
      <c r="F184" s="11">
        <v>902</v>
      </c>
      <c r="G184" s="11">
        <v>81830</v>
      </c>
      <c r="H184" s="21">
        <v>244</v>
      </c>
      <c r="I184" s="20">
        <v>1000000</v>
      </c>
      <c r="J184" s="20">
        <v>1000000</v>
      </c>
      <c r="K184" s="20"/>
      <c r="L184" s="20">
        <v>1158365.55</v>
      </c>
      <c r="M184" s="20"/>
      <c r="N184" s="20"/>
      <c r="O184" s="20"/>
      <c r="P184" s="20"/>
      <c r="Q184" s="20"/>
      <c r="R184" s="20"/>
      <c r="S184" s="20"/>
      <c r="T184" s="20">
        <f>1000000+J184+L184</f>
        <v>3158365.55</v>
      </c>
      <c r="U184" s="20"/>
      <c r="V184" s="20"/>
      <c r="W184" s="20"/>
      <c r="X184" s="20"/>
      <c r="Y184" s="20">
        <v>1000000</v>
      </c>
      <c r="Z184" s="20"/>
      <c r="AA184" s="20"/>
      <c r="AB184" s="20"/>
      <c r="AC184" s="20"/>
      <c r="AD184" s="20">
        <v>1000000</v>
      </c>
    </row>
    <row r="185" spans="1:38" s="44" customFormat="1" ht="44.25" hidden="1" customHeight="1" x14ac:dyDescent="0.25">
      <c r="A185" s="3"/>
      <c r="B185" s="3" t="s">
        <v>97</v>
      </c>
      <c r="C185" s="19" t="s">
        <v>16</v>
      </c>
      <c r="D185" s="13">
        <v>1</v>
      </c>
      <c r="E185" s="13">
        <v>11</v>
      </c>
      <c r="F185" s="13">
        <v>902</v>
      </c>
      <c r="G185" s="13">
        <v>81850</v>
      </c>
      <c r="H185" s="14"/>
      <c r="I185" s="15">
        <f>I186</f>
        <v>0</v>
      </c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>
        <f>T186</f>
        <v>0</v>
      </c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F185" s="30"/>
      <c r="AG185" s="30"/>
      <c r="AH185" s="30"/>
      <c r="AI185" s="30"/>
      <c r="AJ185" s="30"/>
      <c r="AK185" s="30"/>
      <c r="AL185" s="30"/>
    </row>
    <row r="186" spans="1:38" ht="44.25" hidden="1" customHeight="1" x14ac:dyDescent="0.25">
      <c r="A186" s="5"/>
      <c r="B186" s="5" t="s">
        <v>26</v>
      </c>
      <c r="C186" s="2" t="s">
        <v>16</v>
      </c>
      <c r="D186" s="11">
        <v>1</v>
      </c>
      <c r="E186" s="11">
        <v>11</v>
      </c>
      <c r="F186" s="11">
        <v>902</v>
      </c>
      <c r="G186" s="11">
        <v>81850</v>
      </c>
      <c r="H186" s="21">
        <v>200</v>
      </c>
      <c r="I186" s="20">
        <f>I187</f>
        <v>0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>
        <f>T187</f>
        <v>0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8" ht="44.25" hidden="1" customHeight="1" x14ac:dyDescent="0.25">
      <c r="A187" s="5"/>
      <c r="B187" s="5" t="s">
        <v>28</v>
      </c>
      <c r="C187" s="2" t="s">
        <v>16</v>
      </c>
      <c r="D187" s="11">
        <v>1</v>
      </c>
      <c r="E187" s="11">
        <v>11</v>
      </c>
      <c r="F187" s="11">
        <v>902</v>
      </c>
      <c r="G187" s="11">
        <v>81850</v>
      </c>
      <c r="H187" s="21">
        <v>240</v>
      </c>
      <c r="I187" s="20">
        <f>I188</f>
        <v>0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>
        <f>T188</f>
        <v>0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8" ht="44.25" hidden="1" customHeight="1" x14ac:dyDescent="0.25">
      <c r="A188" s="5"/>
      <c r="B188" s="5" t="s">
        <v>30</v>
      </c>
      <c r="C188" s="2" t="s">
        <v>16</v>
      </c>
      <c r="D188" s="11">
        <v>1</v>
      </c>
      <c r="E188" s="11">
        <v>11</v>
      </c>
      <c r="F188" s="11">
        <v>902</v>
      </c>
      <c r="G188" s="11">
        <v>81850</v>
      </c>
      <c r="H188" s="21">
        <v>244</v>
      </c>
      <c r="I188" s="20">
        <v>0</v>
      </c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>
        <v>0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8" ht="21" x14ac:dyDescent="0.25">
      <c r="A189" s="5"/>
      <c r="B189" s="49" t="s">
        <v>98</v>
      </c>
      <c r="C189" s="19" t="s">
        <v>16</v>
      </c>
      <c r="D189" s="13">
        <v>1</v>
      </c>
      <c r="E189" s="13">
        <v>11</v>
      </c>
      <c r="F189" s="13">
        <v>902</v>
      </c>
      <c r="G189" s="13">
        <v>81870</v>
      </c>
      <c r="H189" s="14"/>
      <c r="I189" s="15">
        <f>I190+I193</f>
        <v>2924708.72</v>
      </c>
      <c r="J189" s="15">
        <f>J190+J193</f>
        <v>-1100000</v>
      </c>
      <c r="K189" s="15">
        <f>K190+K193</f>
        <v>1529319.49</v>
      </c>
      <c r="L189" s="15">
        <f>L190+L193</f>
        <v>1081546.3699999999</v>
      </c>
      <c r="M189" s="15"/>
      <c r="N189" s="15"/>
      <c r="O189" s="15">
        <f>O190+O193</f>
        <v>-412792</v>
      </c>
      <c r="P189" s="15">
        <f>P190+P193</f>
        <v>864129.16</v>
      </c>
      <c r="Q189" s="15"/>
      <c r="R189" s="15"/>
      <c r="S189" s="15"/>
      <c r="T189" s="15">
        <f>T190+T193</f>
        <v>5037107.3099999996</v>
      </c>
      <c r="U189" s="15"/>
      <c r="V189" s="15"/>
      <c r="W189" s="15"/>
      <c r="X189" s="15"/>
      <c r="Y189" s="15">
        <f>Y190+Y193</f>
        <v>1824708.72</v>
      </c>
      <c r="Z189" s="15"/>
      <c r="AA189" s="15"/>
      <c r="AB189" s="15"/>
      <c r="AC189" s="15"/>
      <c r="AD189" s="15">
        <f>AD190+AD193</f>
        <v>1824708.72</v>
      </c>
    </row>
    <row r="190" spans="1:38" ht="44.25" customHeight="1" x14ac:dyDescent="0.25">
      <c r="A190" s="5"/>
      <c r="B190" s="5" t="s">
        <v>26</v>
      </c>
      <c r="C190" s="2" t="s">
        <v>16</v>
      </c>
      <c r="D190" s="11">
        <v>1</v>
      </c>
      <c r="E190" s="11">
        <v>11</v>
      </c>
      <c r="F190" s="11">
        <v>902</v>
      </c>
      <c r="G190" s="11">
        <v>81870</v>
      </c>
      <c r="H190" s="21">
        <v>200</v>
      </c>
      <c r="I190" s="20">
        <f t="shared" ref="I190:AD191" si="39">I191</f>
        <v>2924708.72</v>
      </c>
      <c r="J190" s="20">
        <f t="shared" si="39"/>
        <v>-1407600</v>
      </c>
      <c r="K190" s="20">
        <f t="shared" si="39"/>
        <v>1455612.51</v>
      </c>
      <c r="L190" s="20">
        <f t="shared" si="39"/>
        <v>864695.09</v>
      </c>
      <c r="M190" s="20"/>
      <c r="N190" s="20"/>
      <c r="O190" s="20">
        <f t="shared" si="39"/>
        <v>-412792</v>
      </c>
      <c r="P190" s="20">
        <f t="shared" si="39"/>
        <v>763737.3</v>
      </c>
      <c r="Q190" s="20"/>
      <c r="R190" s="20"/>
      <c r="S190" s="20"/>
      <c r="T190" s="20">
        <f t="shared" si="39"/>
        <v>4320155.93</v>
      </c>
      <c r="U190" s="20"/>
      <c r="V190" s="20"/>
      <c r="W190" s="20"/>
      <c r="X190" s="20"/>
      <c r="Y190" s="20">
        <f t="shared" si="39"/>
        <v>1824708.72</v>
      </c>
      <c r="Z190" s="20"/>
      <c r="AA190" s="20"/>
      <c r="AB190" s="20"/>
      <c r="AC190" s="20"/>
      <c r="AD190" s="20">
        <f t="shared" si="39"/>
        <v>1824708.72</v>
      </c>
    </row>
    <row r="191" spans="1:38" ht="44.25" customHeight="1" x14ac:dyDescent="0.25">
      <c r="A191" s="5"/>
      <c r="B191" s="5" t="s">
        <v>28</v>
      </c>
      <c r="C191" s="2" t="s">
        <v>16</v>
      </c>
      <c r="D191" s="11">
        <v>1</v>
      </c>
      <c r="E191" s="11">
        <v>11</v>
      </c>
      <c r="F191" s="11">
        <v>902</v>
      </c>
      <c r="G191" s="11">
        <v>81870</v>
      </c>
      <c r="H191" s="21">
        <v>240</v>
      </c>
      <c r="I191" s="20">
        <f t="shared" si="39"/>
        <v>2924708.72</v>
      </c>
      <c r="J191" s="20">
        <f t="shared" si="39"/>
        <v>-1407600</v>
      </c>
      <c r="K191" s="20">
        <f t="shared" si="39"/>
        <v>1455612.51</v>
      </c>
      <c r="L191" s="20">
        <f t="shared" si="39"/>
        <v>864695.09</v>
      </c>
      <c r="M191" s="20"/>
      <c r="N191" s="20"/>
      <c r="O191" s="20">
        <f t="shared" si="39"/>
        <v>-412792</v>
      </c>
      <c r="P191" s="20">
        <f t="shared" si="39"/>
        <v>763737.3</v>
      </c>
      <c r="Q191" s="20"/>
      <c r="R191" s="20"/>
      <c r="S191" s="20"/>
      <c r="T191" s="20">
        <f t="shared" si="39"/>
        <v>4320155.93</v>
      </c>
      <c r="U191" s="20"/>
      <c r="V191" s="20"/>
      <c r="W191" s="20"/>
      <c r="X191" s="20"/>
      <c r="Y191" s="20">
        <f t="shared" si="39"/>
        <v>1824708.72</v>
      </c>
      <c r="Z191" s="20"/>
      <c r="AA191" s="20"/>
      <c r="AB191" s="20"/>
      <c r="AC191" s="20"/>
      <c r="AD191" s="20">
        <f t="shared" si="39"/>
        <v>1824708.72</v>
      </c>
    </row>
    <row r="192" spans="1:38" ht="44.25" customHeight="1" x14ac:dyDescent="0.25">
      <c r="A192" s="5"/>
      <c r="B192" s="5" t="s">
        <v>30</v>
      </c>
      <c r="C192" s="2" t="s">
        <v>16</v>
      </c>
      <c r="D192" s="11">
        <v>1</v>
      </c>
      <c r="E192" s="11">
        <v>11</v>
      </c>
      <c r="F192" s="11">
        <v>902</v>
      </c>
      <c r="G192" s="11">
        <v>81870</v>
      </c>
      <c r="H192" s="21">
        <v>244</v>
      </c>
      <c r="I192" s="20">
        <v>2924708.72</v>
      </c>
      <c r="J192" s="20">
        <v>-1407600</v>
      </c>
      <c r="K192" s="20">
        <v>1455612.51</v>
      </c>
      <c r="L192" s="20">
        <v>864695.09</v>
      </c>
      <c r="M192" s="20"/>
      <c r="N192" s="20"/>
      <c r="O192" s="20">
        <v>-412792</v>
      </c>
      <c r="P192" s="20">
        <v>763737.3</v>
      </c>
      <c r="Q192" s="20"/>
      <c r="R192" s="20"/>
      <c r="S192" s="20">
        <v>131794.31</v>
      </c>
      <c r="T192" s="20">
        <f>2924708.72+J192+K192+L192+O192+P192+S192</f>
        <v>4320155.93</v>
      </c>
      <c r="U192" s="20"/>
      <c r="V192" s="20"/>
      <c r="W192" s="20"/>
      <c r="X192" s="20"/>
      <c r="Y192" s="20">
        <v>1824708.72</v>
      </c>
      <c r="Z192" s="20"/>
      <c r="AA192" s="20"/>
      <c r="AB192" s="20"/>
      <c r="AC192" s="20"/>
      <c r="AD192" s="20">
        <v>1824708.72</v>
      </c>
    </row>
    <row r="193" spans="1:30" x14ac:dyDescent="0.25">
      <c r="A193" s="5"/>
      <c r="B193" s="5" t="s">
        <v>59</v>
      </c>
      <c r="C193" s="2" t="s">
        <v>16</v>
      </c>
      <c r="D193" s="11">
        <v>1</v>
      </c>
      <c r="E193" s="11">
        <v>11</v>
      </c>
      <c r="F193" s="11">
        <v>902</v>
      </c>
      <c r="G193" s="11">
        <v>81870</v>
      </c>
      <c r="H193" s="21">
        <v>800</v>
      </c>
      <c r="I193" s="20">
        <f>I194+I196</f>
        <v>0</v>
      </c>
      <c r="J193" s="20">
        <f>J194+J196</f>
        <v>307600</v>
      </c>
      <c r="K193" s="20">
        <f>K194+K196</f>
        <v>73706.98</v>
      </c>
      <c r="L193" s="20">
        <f>L194+L196</f>
        <v>216851.28</v>
      </c>
      <c r="M193" s="20"/>
      <c r="N193" s="20"/>
      <c r="O193" s="20"/>
      <c r="P193" s="20">
        <f>P194+P196</f>
        <v>100391.86</v>
      </c>
      <c r="Q193" s="20"/>
      <c r="R193" s="20"/>
      <c r="S193" s="20"/>
      <c r="T193" s="20">
        <f>T194+T196+T198</f>
        <v>716951.38</v>
      </c>
      <c r="U193" s="20"/>
      <c r="V193" s="20"/>
      <c r="W193" s="20"/>
      <c r="X193" s="20"/>
      <c r="Y193" s="20">
        <f>Y194+Y196</f>
        <v>0</v>
      </c>
      <c r="Z193" s="20"/>
      <c r="AA193" s="20"/>
      <c r="AB193" s="20"/>
      <c r="AC193" s="20"/>
      <c r="AD193" s="20">
        <f>AD194+AD196</f>
        <v>0</v>
      </c>
    </row>
    <row r="194" spans="1:30" ht="67.5" hidden="1" x14ac:dyDescent="0.25">
      <c r="A194" s="5"/>
      <c r="B194" s="5" t="s">
        <v>99</v>
      </c>
      <c r="C194" s="2" t="s">
        <v>16</v>
      </c>
      <c r="D194" s="11">
        <v>1</v>
      </c>
      <c r="E194" s="11">
        <v>11</v>
      </c>
      <c r="F194" s="11">
        <v>902</v>
      </c>
      <c r="G194" s="11">
        <v>81870</v>
      </c>
      <c r="H194" s="21">
        <v>810</v>
      </c>
      <c r="I194" s="20">
        <f>I195</f>
        <v>0</v>
      </c>
      <c r="J194" s="20">
        <f>J195</f>
        <v>0</v>
      </c>
      <c r="K194" s="20">
        <f>K195</f>
        <v>0</v>
      </c>
      <c r="L194" s="20">
        <f>L195</f>
        <v>0</v>
      </c>
      <c r="M194" s="20"/>
      <c r="N194" s="20"/>
      <c r="O194" s="20"/>
      <c r="P194" s="20">
        <f>P195</f>
        <v>0</v>
      </c>
      <c r="Q194" s="20"/>
      <c r="R194" s="20"/>
      <c r="S194" s="20"/>
      <c r="T194" s="20">
        <f>T195</f>
        <v>0</v>
      </c>
      <c r="U194" s="20"/>
      <c r="V194" s="20"/>
      <c r="W194" s="20"/>
      <c r="X194" s="20"/>
      <c r="Y194" s="20">
        <f>Y195</f>
        <v>0</v>
      </c>
      <c r="Z194" s="20"/>
      <c r="AA194" s="20"/>
      <c r="AB194" s="20"/>
      <c r="AC194" s="20"/>
      <c r="AD194" s="20">
        <f>AD195</f>
        <v>0</v>
      </c>
    </row>
    <row r="195" spans="1:30" ht="67.5" hidden="1" x14ac:dyDescent="0.25">
      <c r="A195" s="5"/>
      <c r="B195" s="5" t="s">
        <v>100</v>
      </c>
      <c r="C195" s="2" t="s">
        <v>16</v>
      </c>
      <c r="D195" s="11">
        <v>1</v>
      </c>
      <c r="E195" s="11">
        <v>11</v>
      </c>
      <c r="F195" s="11">
        <v>902</v>
      </c>
      <c r="G195" s="11">
        <v>81870</v>
      </c>
      <c r="H195" s="21">
        <v>814</v>
      </c>
      <c r="I195" s="20">
        <v>0</v>
      </c>
      <c r="J195" s="20">
        <v>0</v>
      </c>
      <c r="K195" s="20">
        <v>0</v>
      </c>
      <c r="L195" s="20">
        <v>0</v>
      </c>
      <c r="M195" s="20"/>
      <c r="N195" s="20"/>
      <c r="O195" s="20"/>
      <c r="P195" s="20">
        <v>0</v>
      </c>
      <c r="Q195" s="20"/>
      <c r="R195" s="20"/>
      <c r="S195" s="20"/>
      <c r="T195" s="20">
        <v>0</v>
      </c>
      <c r="U195" s="20"/>
      <c r="V195" s="20"/>
      <c r="W195" s="20"/>
      <c r="X195" s="20"/>
      <c r="Y195" s="20">
        <v>0</v>
      </c>
      <c r="Z195" s="20"/>
      <c r="AA195" s="20"/>
      <c r="AB195" s="20"/>
      <c r="AC195" s="20"/>
      <c r="AD195" s="20">
        <v>0</v>
      </c>
    </row>
    <row r="196" spans="1:30" x14ac:dyDescent="0.25">
      <c r="A196" s="5"/>
      <c r="B196" s="5" t="s">
        <v>60</v>
      </c>
      <c r="C196" s="2" t="s">
        <v>16</v>
      </c>
      <c r="D196" s="11">
        <v>1</v>
      </c>
      <c r="E196" s="11">
        <v>11</v>
      </c>
      <c r="F196" s="11">
        <v>902</v>
      </c>
      <c r="G196" s="11">
        <v>81870</v>
      </c>
      <c r="H196" s="21">
        <v>830</v>
      </c>
      <c r="I196" s="20">
        <f>I197</f>
        <v>0</v>
      </c>
      <c r="J196" s="20">
        <f>J197</f>
        <v>307600</v>
      </c>
      <c r="K196" s="20">
        <f>K197</f>
        <v>73706.98</v>
      </c>
      <c r="L196" s="20">
        <f>L197</f>
        <v>216851.28</v>
      </c>
      <c r="M196" s="20"/>
      <c r="N196" s="20"/>
      <c r="O196" s="20"/>
      <c r="P196" s="20">
        <f>P197</f>
        <v>100391.86</v>
      </c>
      <c r="Q196" s="20"/>
      <c r="R196" s="20"/>
      <c r="S196" s="20"/>
      <c r="T196" s="20">
        <f>T197</f>
        <v>704558.38</v>
      </c>
      <c r="U196" s="20"/>
      <c r="V196" s="20"/>
      <c r="W196" s="20"/>
      <c r="X196" s="20"/>
      <c r="Y196" s="20">
        <f>Y197</f>
        <v>0</v>
      </c>
      <c r="Z196" s="20"/>
      <c r="AA196" s="20"/>
      <c r="AB196" s="20"/>
      <c r="AC196" s="20"/>
      <c r="AD196" s="20">
        <f>AD197</f>
        <v>0</v>
      </c>
    </row>
    <row r="197" spans="1:30" ht="44.25" customHeight="1" x14ac:dyDescent="0.25">
      <c r="A197" s="5"/>
      <c r="B197" s="5" t="s">
        <v>101</v>
      </c>
      <c r="C197" s="2" t="s">
        <v>16</v>
      </c>
      <c r="D197" s="11">
        <v>1</v>
      </c>
      <c r="E197" s="11">
        <v>11</v>
      </c>
      <c r="F197" s="11">
        <v>902</v>
      </c>
      <c r="G197" s="11">
        <v>81870</v>
      </c>
      <c r="H197" s="21">
        <v>831</v>
      </c>
      <c r="I197" s="20">
        <v>0</v>
      </c>
      <c r="J197" s="20">
        <v>307600</v>
      </c>
      <c r="K197" s="20">
        <v>73706.98</v>
      </c>
      <c r="L197" s="20">
        <v>216851.28</v>
      </c>
      <c r="M197" s="20"/>
      <c r="N197" s="20"/>
      <c r="O197" s="20"/>
      <c r="P197" s="20">
        <v>100391.86</v>
      </c>
      <c r="Q197" s="20"/>
      <c r="R197" s="20"/>
      <c r="S197" s="20">
        <v>6008.26</v>
      </c>
      <c r="T197" s="20">
        <f>J197+K197+L197+P197+S197</f>
        <v>704558.38</v>
      </c>
      <c r="U197" s="20"/>
      <c r="V197" s="20"/>
      <c r="W197" s="20"/>
      <c r="X197" s="20"/>
      <c r="Y197" s="20">
        <v>0</v>
      </c>
      <c r="Z197" s="20"/>
      <c r="AA197" s="20"/>
      <c r="AB197" s="20"/>
      <c r="AC197" s="20"/>
      <c r="AD197" s="20">
        <v>0</v>
      </c>
    </row>
    <row r="198" spans="1:30" x14ac:dyDescent="0.25">
      <c r="A198" s="5"/>
      <c r="B198" s="5" t="s">
        <v>62</v>
      </c>
      <c r="C198" s="2" t="s">
        <v>16</v>
      </c>
      <c r="D198" s="11">
        <v>1</v>
      </c>
      <c r="E198" s="11">
        <v>11</v>
      </c>
      <c r="F198" s="11">
        <v>902</v>
      </c>
      <c r="G198" s="11">
        <v>81870</v>
      </c>
      <c r="H198" s="21">
        <v>850</v>
      </c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>
        <f>T199</f>
        <v>12393</v>
      </c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 x14ac:dyDescent="0.25">
      <c r="A199" s="5"/>
      <c r="B199" s="5" t="s">
        <v>133</v>
      </c>
      <c r="C199" s="2" t="s">
        <v>16</v>
      </c>
      <c r="D199" s="11">
        <v>1</v>
      </c>
      <c r="E199" s="11">
        <v>11</v>
      </c>
      <c r="F199" s="11">
        <v>902</v>
      </c>
      <c r="G199" s="11">
        <v>81870</v>
      </c>
      <c r="H199" s="21">
        <v>852</v>
      </c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>
        <v>12393</v>
      </c>
      <c r="T199" s="20">
        <f>S199</f>
        <v>12393</v>
      </c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 ht="21" x14ac:dyDescent="0.25">
      <c r="A200" s="5"/>
      <c r="B200" s="49" t="s">
        <v>102</v>
      </c>
      <c r="C200" s="19" t="s">
        <v>16</v>
      </c>
      <c r="D200" s="13">
        <v>1</v>
      </c>
      <c r="E200" s="13">
        <v>11</v>
      </c>
      <c r="F200" s="13">
        <v>902</v>
      </c>
      <c r="G200" s="13">
        <v>82300</v>
      </c>
      <c r="H200" s="14"/>
      <c r="I200" s="15">
        <f>I204+I207+I201</f>
        <v>574000</v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>
        <f>T204+T207+T201</f>
        <v>574000</v>
      </c>
      <c r="U200" s="15"/>
      <c r="V200" s="15"/>
      <c r="W200" s="15"/>
      <c r="X200" s="15"/>
      <c r="Y200" s="15">
        <f>Y204+Y207+Y201</f>
        <v>274000</v>
      </c>
      <c r="Z200" s="15"/>
      <c r="AA200" s="15"/>
      <c r="AB200" s="15"/>
      <c r="AC200" s="15"/>
      <c r="AD200" s="15">
        <f>AD204+AD207+AD201</f>
        <v>274000</v>
      </c>
    </row>
    <row r="201" spans="1:30" ht="56.25" x14ac:dyDescent="0.25">
      <c r="A201" s="5"/>
      <c r="B201" s="5" t="s">
        <v>22</v>
      </c>
      <c r="C201" s="2" t="s">
        <v>16</v>
      </c>
      <c r="D201" s="11">
        <v>1</v>
      </c>
      <c r="E201" s="11">
        <v>11</v>
      </c>
      <c r="F201" s="11">
        <v>902</v>
      </c>
      <c r="G201" s="11">
        <v>82300</v>
      </c>
      <c r="H201" s="21">
        <v>100</v>
      </c>
      <c r="I201" s="20">
        <f>I202</f>
        <v>100000</v>
      </c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>
        <f>T202</f>
        <v>100000</v>
      </c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:30" x14ac:dyDescent="0.25">
      <c r="A202" s="5"/>
      <c r="B202" s="36" t="s">
        <v>79</v>
      </c>
      <c r="C202" s="2" t="s">
        <v>16</v>
      </c>
      <c r="D202" s="11">
        <v>1</v>
      </c>
      <c r="E202" s="11">
        <v>11</v>
      </c>
      <c r="F202" s="11">
        <v>902</v>
      </c>
      <c r="G202" s="11">
        <v>82300</v>
      </c>
      <c r="H202" s="21">
        <v>110</v>
      </c>
      <c r="I202" s="20">
        <f>I203</f>
        <v>100000</v>
      </c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>
        <f>T203</f>
        <v>100000</v>
      </c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ht="33.75" x14ac:dyDescent="0.25">
      <c r="A203" s="5"/>
      <c r="B203" s="37" t="s">
        <v>103</v>
      </c>
      <c r="C203" s="2" t="s">
        <v>16</v>
      </c>
      <c r="D203" s="11">
        <v>1</v>
      </c>
      <c r="E203" s="11">
        <v>11</v>
      </c>
      <c r="F203" s="11">
        <v>902</v>
      </c>
      <c r="G203" s="11">
        <v>82300</v>
      </c>
      <c r="H203" s="21">
        <v>113</v>
      </c>
      <c r="I203" s="20">
        <v>100000</v>
      </c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>
        <v>100000</v>
      </c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:30" ht="44.25" customHeight="1" x14ac:dyDescent="0.25">
      <c r="A204" s="5"/>
      <c r="B204" s="5" t="s">
        <v>26</v>
      </c>
      <c r="C204" s="2" t="s">
        <v>16</v>
      </c>
      <c r="D204" s="11">
        <v>1</v>
      </c>
      <c r="E204" s="11">
        <v>11</v>
      </c>
      <c r="F204" s="11">
        <v>902</v>
      </c>
      <c r="G204" s="11">
        <v>82300</v>
      </c>
      <c r="H204" s="21" t="s">
        <v>27</v>
      </c>
      <c r="I204" s="20">
        <f t="shared" ref="I204:AD205" si="40">I205</f>
        <v>400000</v>
      </c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>
        <f t="shared" si="40"/>
        <v>400000</v>
      </c>
      <c r="U204" s="20"/>
      <c r="V204" s="20"/>
      <c r="W204" s="20"/>
      <c r="X204" s="20"/>
      <c r="Y204" s="20">
        <f t="shared" si="40"/>
        <v>200000</v>
      </c>
      <c r="Z204" s="20"/>
      <c r="AA204" s="20"/>
      <c r="AB204" s="20"/>
      <c r="AC204" s="20"/>
      <c r="AD204" s="20">
        <f t="shared" si="40"/>
        <v>200000</v>
      </c>
    </row>
    <row r="205" spans="1:30" ht="44.25" customHeight="1" x14ac:dyDescent="0.25">
      <c r="A205" s="5"/>
      <c r="B205" s="5" t="s">
        <v>28</v>
      </c>
      <c r="C205" s="2" t="s">
        <v>16</v>
      </c>
      <c r="D205" s="11">
        <v>1</v>
      </c>
      <c r="E205" s="11">
        <v>11</v>
      </c>
      <c r="F205" s="11">
        <v>902</v>
      </c>
      <c r="G205" s="11">
        <v>82300</v>
      </c>
      <c r="H205" s="21" t="s">
        <v>29</v>
      </c>
      <c r="I205" s="20">
        <f t="shared" si="40"/>
        <v>400000</v>
      </c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>
        <f t="shared" si="40"/>
        <v>400000</v>
      </c>
      <c r="U205" s="20"/>
      <c r="V205" s="20"/>
      <c r="W205" s="20"/>
      <c r="X205" s="20"/>
      <c r="Y205" s="20">
        <f t="shared" si="40"/>
        <v>200000</v>
      </c>
      <c r="Z205" s="20"/>
      <c r="AA205" s="20"/>
      <c r="AB205" s="20"/>
      <c r="AC205" s="20"/>
      <c r="AD205" s="20">
        <f t="shared" si="40"/>
        <v>200000</v>
      </c>
    </row>
    <row r="206" spans="1:30" ht="44.25" customHeight="1" x14ac:dyDescent="0.25">
      <c r="A206" s="5"/>
      <c r="B206" s="5" t="s">
        <v>30</v>
      </c>
      <c r="C206" s="2" t="s">
        <v>16</v>
      </c>
      <c r="D206" s="11">
        <v>1</v>
      </c>
      <c r="E206" s="11">
        <v>11</v>
      </c>
      <c r="F206" s="11">
        <v>902</v>
      </c>
      <c r="G206" s="11">
        <v>82300</v>
      </c>
      <c r="H206" s="21">
        <v>244</v>
      </c>
      <c r="I206" s="20">
        <v>400000</v>
      </c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>
        <v>400000</v>
      </c>
      <c r="U206" s="20"/>
      <c r="V206" s="20"/>
      <c r="W206" s="20"/>
      <c r="X206" s="20"/>
      <c r="Y206" s="20">
        <v>200000</v>
      </c>
      <c r="Z206" s="20"/>
      <c r="AA206" s="20"/>
      <c r="AB206" s="20"/>
      <c r="AC206" s="20"/>
      <c r="AD206" s="20">
        <v>200000</v>
      </c>
    </row>
    <row r="207" spans="1:30" x14ac:dyDescent="0.25">
      <c r="A207" s="5"/>
      <c r="B207" s="5" t="s">
        <v>59</v>
      </c>
      <c r="C207" s="2" t="s">
        <v>16</v>
      </c>
      <c r="D207" s="11">
        <v>1</v>
      </c>
      <c r="E207" s="11">
        <v>11</v>
      </c>
      <c r="F207" s="11">
        <v>902</v>
      </c>
      <c r="G207" s="11">
        <v>82300</v>
      </c>
      <c r="H207" s="21">
        <v>800</v>
      </c>
      <c r="I207" s="20">
        <f>I208+I210</f>
        <v>74000</v>
      </c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>
        <f>T208+T210</f>
        <v>74000</v>
      </c>
      <c r="U207" s="20"/>
      <c r="V207" s="20"/>
      <c r="W207" s="20"/>
      <c r="X207" s="20"/>
      <c r="Y207" s="20">
        <f>Y208+Y210</f>
        <v>74000</v>
      </c>
      <c r="Z207" s="20"/>
      <c r="AA207" s="20"/>
      <c r="AB207" s="20"/>
      <c r="AC207" s="20"/>
      <c r="AD207" s="20">
        <f>AD208+AD210</f>
        <v>74000</v>
      </c>
    </row>
    <row r="208" spans="1:30" hidden="1" x14ac:dyDescent="0.25">
      <c r="A208" s="5"/>
      <c r="B208" s="5" t="s">
        <v>60</v>
      </c>
      <c r="C208" s="2" t="s">
        <v>16</v>
      </c>
      <c r="D208" s="11">
        <v>1</v>
      </c>
      <c r="E208" s="11">
        <v>11</v>
      </c>
      <c r="F208" s="11">
        <v>902</v>
      </c>
      <c r="G208" s="11">
        <v>82300</v>
      </c>
      <c r="H208" s="21">
        <v>830</v>
      </c>
      <c r="I208" s="20">
        <f>I209</f>
        <v>0</v>
      </c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>
        <f>T209</f>
        <v>0</v>
      </c>
      <c r="U208" s="20"/>
      <c r="V208" s="20"/>
      <c r="W208" s="20"/>
      <c r="X208" s="20"/>
      <c r="Y208" s="20">
        <f>Y209</f>
        <v>0</v>
      </c>
      <c r="Z208" s="20"/>
      <c r="AA208" s="20"/>
      <c r="AB208" s="20"/>
      <c r="AC208" s="20"/>
      <c r="AD208" s="20">
        <f>AD209</f>
        <v>0</v>
      </c>
    </row>
    <row r="209" spans="1:38" ht="123.75" hidden="1" x14ac:dyDescent="0.25">
      <c r="A209" s="5"/>
      <c r="B209" s="5" t="s">
        <v>61</v>
      </c>
      <c r="C209" s="2" t="s">
        <v>16</v>
      </c>
      <c r="D209" s="11">
        <v>1</v>
      </c>
      <c r="E209" s="11">
        <v>11</v>
      </c>
      <c r="F209" s="11">
        <v>902</v>
      </c>
      <c r="G209" s="11">
        <v>82300</v>
      </c>
      <c r="H209" s="21">
        <v>831</v>
      </c>
      <c r="I209" s="20">
        <v>0</v>
      </c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>
        <v>0</v>
      </c>
      <c r="U209" s="20"/>
      <c r="V209" s="20"/>
      <c r="W209" s="20"/>
      <c r="X209" s="20"/>
      <c r="Y209" s="20">
        <v>0</v>
      </c>
      <c r="Z209" s="20"/>
      <c r="AA209" s="20"/>
      <c r="AB209" s="20"/>
      <c r="AC209" s="20"/>
      <c r="AD209" s="20">
        <v>0</v>
      </c>
    </row>
    <row r="210" spans="1:38" x14ac:dyDescent="0.25">
      <c r="A210" s="5"/>
      <c r="B210" s="5" t="s">
        <v>104</v>
      </c>
      <c r="C210" s="2" t="s">
        <v>16</v>
      </c>
      <c r="D210" s="11">
        <v>1</v>
      </c>
      <c r="E210" s="11">
        <v>11</v>
      </c>
      <c r="F210" s="11">
        <v>902</v>
      </c>
      <c r="G210" s="11">
        <v>82300</v>
      </c>
      <c r="H210" s="21">
        <v>850</v>
      </c>
      <c r="I210" s="20">
        <f>I211</f>
        <v>74000</v>
      </c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>
        <f>T211</f>
        <v>74000</v>
      </c>
      <c r="U210" s="20"/>
      <c r="V210" s="20"/>
      <c r="W210" s="20"/>
      <c r="X210" s="20"/>
      <c r="Y210" s="20">
        <f>Y211</f>
        <v>74000</v>
      </c>
      <c r="Z210" s="20"/>
      <c r="AA210" s="20"/>
      <c r="AB210" s="20"/>
      <c r="AC210" s="20"/>
      <c r="AD210" s="20">
        <f>AD211</f>
        <v>74000</v>
      </c>
    </row>
    <row r="211" spans="1:38" x14ac:dyDescent="0.25">
      <c r="A211" s="5"/>
      <c r="B211" s="5" t="s">
        <v>105</v>
      </c>
      <c r="C211" s="2" t="s">
        <v>16</v>
      </c>
      <c r="D211" s="11">
        <v>1</v>
      </c>
      <c r="E211" s="11">
        <v>11</v>
      </c>
      <c r="F211" s="11">
        <v>902</v>
      </c>
      <c r="G211" s="11">
        <v>82300</v>
      </c>
      <c r="H211" s="21">
        <v>853</v>
      </c>
      <c r="I211" s="20">
        <v>74000</v>
      </c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>
        <v>74000</v>
      </c>
      <c r="U211" s="20"/>
      <c r="V211" s="20"/>
      <c r="W211" s="20"/>
      <c r="X211" s="20"/>
      <c r="Y211" s="20">
        <v>74000</v>
      </c>
      <c r="Z211" s="20"/>
      <c r="AA211" s="20"/>
      <c r="AB211" s="20"/>
      <c r="AC211" s="20"/>
      <c r="AD211" s="20">
        <v>74000</v>
      </c>
    </row>
    <row r="212" spans="1:38" ht="21" x14ac:dyDescent="0.25">
      <c r="A212" s="5"/>
      <c r="B212" s="49" t="s">
        <v>106</v>
      </c>
      <c r="C212" s="19" t="s">
        <v>16</v>
      </c>
      <c r="D212" s="13">
        <v>1</v>
      </c>
      <c r="E212" s="13">
        <v>11</v>
      </c>
      <c r="F212" s="13">
        <v>902</v>
      </c>
      <c r="G212" s="13">
        <v>82360</v>
      </c>
      <c r="H212" s="14"/>
      <c r="I212" s="15">
        <f t="shared" ref="I212:AD213" si="41">I213</f>
        <v>260000</v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>
        <f t="shared" si="41"/>
        <v>260000</v>
      </c>
      <c r="U212" s="15"/>
      <c r="V212" s="15"/>
      <c r="W212" s="15"/>
      <c r="X212" s="15"/>
      <c r="Y212" s="15">
        <f t="shared" si="41"/>
        <v>260000</v>
      </c>
      <c r="Z212" s="15"/>
      <c r="AA212" s="15"/>
      <c r="AB212" s="15"/>
      <c r="AC212" s="15"/>
      <c r="AD212" s="15">
        <f t="shared" si="41"/>
        <v>260000</v>
      </c>
    </row>
    <row r="213" spans="1:38" ht="44.25" customHeight="1" x14ac:dyDescent="0.25">
      <c r="A213" s="5"/>
      <c r="B213" s="5" t="s">
        <v>26</v>
      </c>
      <c r="C213" s="2" t="s">
        <v>16</v>
      </c>
      <c r="D213" s="11">
        <v>1</v>
      </c>
      <c r="E213" s="11">
        <v>11</v>
      </c>
      <c r="F213" s="11">
        <v>902</v>
      </c>
      <c r="G213" s="11">
        <v>82360</v>
      </c>
      <c r="H213" s="21">
        <v>200</v>
      </c>
      <c r="I213" s="20">
        <f t="shared" si="41"/>
        <v>260000</v>
      </c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>
        <f t="shared" si="41"/>
        <v>260000</v>
      </c>
      <c r="U213" s="20"/>
      <c r="V213" s="20"/>
      <c r="W213" s="20"/>
      <c r="X213" s="20"/>
      <c r="Y213" s="20">
        <f t="shared" si="41"/>
        <v>260000</v>
      </c>
      <c r="Z213" s="20"/>
      <c r="AA213" s="20"/>
      <c r="AB213" s="20"/>
      <c r="AC213" s="20"/>
      <c r="AD213" s="20">
        <f t="shared" si="41"/>
        <v>260000</v>
      </c>
    </row>
    <row r="214" spans="1:38" ht="44.25" customHeight="1" x14ac:dyDescent="0.25">
      <c r="A214" s="5"/>
      <c r="B214" s="5" t="s">
        <v>28</v>
      </c>
      <c r="C214" s="2" t="s">
        <v>16</v>
      </c>
      <c r="D214" s="11">
        <v>1</v>
      </c>
      <c r="E214" s="11">
        <v>11</v>
      </c>
      <c r="F214" s="11">
        <v>902</v>
      </c>
      <c r="G214" s="11">
        <v>82360</v>
      </c>
      <c r="H214" s="21">
        <v>240</v>
      </c>
      <c r="I214" s="20">
        <f>I215</f>
        <v>260000</v>
      </c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>
        <f>T215</f>
        <v>260000</v>
      </c>
      <c r="U214" s="20"/>
      <c r="V214" s="20"/>
      <c r="W214" s="20"/>
      <c r="X214" s="20"/>
      <c r="Y214" s="20">
        <f>Y215</f>
        <v>260000</v>
      </c>
      <c r="Z214" s="20"/>
      <c r="AA214" s="20"/>
      <c r="AB214" s="20"/>
      <c r="AC214" s="20"/>
      <c r="AD214" s="20">
        <f>AD215</f>
        <v>260000</v>
      </c>
    </row>
    <row r="215" spans="1:38" ht="44.25" customHeight="1" x14ac:dyDescent="0.25">
      <c r="A215" s="5"/>
      <c r="B215" s="5" t="s">
        <v>30</v>
      </c>
      <c r="C215" s="2" t="s">
        <v>16</v>
      </c>
      <c r="D215" s="11">
        <v>1</v>
      </c>
      <c r="E215" s="11">
        <v>11</v>
      </c>
      <c r="F215" s="11">
        <v>902</v>
      </c>
      <c r="G215" s="11">
        <v>82360</v>
      </c>
      <c r="H215" s="21">
        <v>244</v>
      </c>
      <c r="I215" s="20">
        <v>260000</v>
      </c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>
        <v>260000</v>
      </c>
      <c r="U215" s="20"/>
      <c r="V215" s="20"/>
      <c r="W215" s="20"/>
      <c r="X215" s="20"/>
      <c r="Y215" s="20">
        <v>260000</v>
      </c>
      <c r="Z215" s="20"/>
      <c r="AA215" s="20"/>
      <c r="AB215" s="20"/>
      <c r="AC215" s="20"/>
      <c r="AD215" s="20">
        <v>260000</v>
      </c>
    </row>
    <row r="216" spans="1:38" x14ac:dyDescent="0.25">
      <c r="A216" s="5"/>
      <c r="B216" s="49" t="s">
        <v>107</v>
      </c>
      <c r="C216" s="19" t="s">
        <v>16</v>
      </c>
      <c r="D216" s="13">
        <v>1</v>
      </c>
      <c r="E216" s="13">
        <v>11</v>
      </c>
      <c r="F216" s="13">
        <v>902</v>
      </c>
      <c r="G216" s="13">
        <v>82400</v>
      </c>
      <c r="H216" s="14"/>
      <c r="I216" s="15">
        <f t="shared" ref="I216:T216" si="42">I217+I220</f>
        <v>3449900</v>
      </c>
      <c r="J216" s="15">
        <f t="shared" si="42"/>
        <v>2450000</v>
      </c>
      <c r="K216" s="15">
        <f t="shared" si="42"/>
        <v>99964</v>
      </c>
      <c r="L216" s="15">
        <f t="shared" si="42"/>
        <v>182062</v>
      </c>
      <c r="M216" s="15">
        <f t="shared" si="42"/>
        <v>299279</v>
      </c>
      <c r="N216" s="15"/>
      <c r="O216" s="15">
        <f t="shared" si="42"/>
        <v>-2000000</v>
      </c>
      <c r="P216" s="15"/>
      <c r="Q216" s="15"/>
      <c r="R216" s="15"/>
      <c r="S216" s="15"/>
      <c r="T216" s="15">
        <f t="shared" si="42"/>
        <v>4429717.1100000003</v>
      </c>
      <c r="U216" s="15"/>
      <c r="V216" s="15"/>
      <c r="W216" s="15"/>
      <c r="X216" s="15"/>
      <c r="Y216" s="15">
        <f>Y217+Y220</f>
        <v>1060000</v>
      </c>
      <c r="Z216" s="15"/>
      <c r="AA216" s="15"/>
      <c r="AB216" s="15"/>
      <c r="AC216" s="15"/>
      <c r="AD216" s="15">
        <f>AD217+AD220</f>
        <v>1060000</v>
      </c>
    </row>
    <row r="217" spans="1:38" ht="44.25" customHeight="1" x14ac:dyDescent="0.25">
      <c r="A217" s="5"/>
      <c r="B217" s="5" t="s">
        <v>26</v>
      </c>
      <c r="C217" s="2" t="s">
        <v>16</v>
      </c>
      <c r="D217" s="11">
        <v>1</v>
      </c>
      <c r="E217" s="11">
        <v>11</v>
      </c>
      <c r="F217" s="11">
        <v>902</v>
      </c>
      <c r="G217" s="11">
        <v>82400</v>
      </c>
      <c r="H217" s="21">
        <v>200</v>
      </c>
      <c r="I217" s="20">
        <f t="shared" ref="I217:AD218" si="43">I218</f>
        <v>1449900</v>
      </c>
      <c r="J217" s="20">
        <f t="shared" si="43"/>
        <v>850000</v>
      </c>
      <c r="K217" s="20">
        <f t="shared" si="43"/>
        <v>99964</v>
      </c>
      <c r="L217" s="20">
        <f t="shared" si="43"/>
        <v>182062</v>
      </c>
      <c r="M217" s="20">
        <f t="shared" si="43"/>
        <v>299279</v>
      </c>
      <c r="N217" s="20"/>
      <c r="O217" s="20"/>
      <c r="P217" s="20"/>
      <c r="Q217" s="20"/>
      <c r="R217" s="20"/>
      <c r="S217" s="20"/>
      <c r="T217" s="20">
        <f t="shared" si="43"/>
        <v>2909705</v>
      </c>
      <c r="U217" s="20"/>
      <c r="V217" s="20"/>
      <c r="W217" s="20"/>
      <c r="X217" s="20"/>
      <c r="Y217" s="20">
        <f t="shared" si="43"/>
        <v>460000</v>
      </c>
      <c r="Z217" s="20"/>
      <c r="AA217" s="20"/>
      <c r="AB217" s="20"/>
      <c r="AC217" s="20"/>
      <c r="AD217" s="20">
        <f t="shared" si="43"/>
        <v>460000</v>
      </c>
    </row>
    <row r="218" spans="1:38" ht="44.25" customHeight="1" x14ac:dyDescent="0.25">
      <c r="A218" s="5"/>
      <c r="B218" s="5" t="s">
        <v>28</v>
      </c>
      <c r="C218" s="2" t="s">
        <v>16</v>
      </c>
      <c r="D218" s="11">
        <v>1</v>
      </c>
      <c r="E218" s="11">
        <v>11</v>
      </c>
      <c r="F218" s="11">
        <v>902</v>
      </c>
      <c r="G218" s="11">
        <v>82400</v>
      </c>
      <c r="H218" s="21">
        <v>240</v>
      </c>
      <c r="I218" s="20">
        <f t="shared" si="43"/>
        <v>1449900</v>
      </c>
      <c r="J218" s="20">
        <f t="shared" si="43"/>
        <v>850000</v>
      </c>
      <c r="K218" s="20">
        <f t="shared" si="43"/>
        <v>99964</v>
      </c>
      <c r="L218" s="20">
        <f t="shared" si="43"/>
        <v>182062</v>
      </c>
      <c r="M218" s="20">
        <f t="shared" si="43"/>
        <v>299279</v>
      </c>
      <c r="N218" s="20"/>
      <c r="O218" s="20"/>
      <c r="P218" s="20"/>
      <c r="Q218" s="20"/>
      <c r="R218" s="20"/>
      <c r="S218" s="20"/>
      <c r="T218" s="20">
        <f t="shared" si="43"/>
        <v>2909705</v>
      </c>
      <c r="U218" s="20"/>
      <c r="V218" s="20"/>
      <c r="W218" s="20"/>
      <c r="X218" s="20"/>
      <c r="Y218" s="20">
        <f t="shared" si="43"/>
        <v>460000</v>
      </c>
      <c r="Z218" s="20"/>
      <c r="AA218" s="20"/>
      <c r="AB218" s="20"/>
      <c r="AC218" s="20"/>
      <c r="AD218" s="20">
        <f t="shared" si="43"/>
        <v>460000</v>
      </c>
    </row>
    <row r="219" spans="1:38" ht="44.25" customHeight="1" x14ac:dyDescent="0.25">
      <c r="A219" s="5"/>
      <c r="B219" s="5" t="s">
        <v>30</v>
      </c>
      <c r="C219" s="2" t="s">
        <v>16</v>
      </c>
      <c r="D219" s="11">
        <v>1</v>
      </c>
      <c r="E219" s="11">
        <v>11</v>
      </c>
      <c r="F219" s="11">
        <v>902</v>
      </c>
      <c r="G219" s="11">
        <v>82400</v>
      </c>
      <c r="H219" s="21">
        <v>244</v>
      </c>
      <c r="I219" s="23">
        <v>1449900</v>
      </c>
      <c r="J219" s="20">
        <v>850000</v>
      </c>
      <c r="K219" s="20">
        <v>99964</v>
      </c>
      <c r="L219" s="20">
        <v>182062</v>
      </c>
      <c r="M219" s="20">
        <v>299279</v>
      </c>
      <c r="N219" s="20"/>
      <c r="O219" s="20"/>
      <c r="P219" s="20"/>
      <c r="Q219" s="20"/>
      <c r="R219" s="20"/>
      <c r="S219" s="20">
        <v>28500</v>
      </c>
      <c r="T219" s="23">
        <f>1449900+J219+K219+L219+M219+S219</f>
        <v>2909705</v>
      </c>
      <c r="U219" s="23"/>
      <c r="V219" s="23"/>
      <c r="W219" s="23"/>
      <c r="X219" s="23"/>
      <c r="Y219" s="20">
        <v>460000</v>
      </c>
      <c r="Z219" s="20"/>
      <c r="AA219" s="20"/>
      <c r="AB219" s="20"/>
      <c r="AC219" s="20"/>
      <c r="AD219" s="20">
        <v>460000</v>
      </c>
    </row>
    <row r="220" spans="1:38" ht="44.25" customHeight="1" x14ac:dyDescent="0.25">
      <c r="A220" s="5"/>
      <c r="B220" s="5" t="s">
        <v>34</v>
      </c>
      <c r="C220" s="2" t="s">
        <v>16</v>
      </c>
      <c r="D220" s="11">
        <v>1</v>
      </c>
      <c r="E220" s="11">
        <v>11</v>
      </c>
      <c r="F220" s="11">
        <v>902</v>
      </c>
      <c r="G220" s="11">
        <v>82400</v>
      </c>
      <c r="H220" s="21">
        <v>600</v>
      </c>
      <c r="I220" s="20">
        <f t="shared" ref="I220:AD221" si="44">I221</f>
        <v>2000000</v>
      </c>
      <c r="J220" s="20">
        <f t="shared" si="44"/>
        <v>1600000</v>
      </c>
      <c r="K220" s="20"/>
      <c r="L220" s="20"/>
      <c r="M220" s="20"/>
      <c r="N220" s="20"/>
      <c r="O220" s="20">
        <f t="shared" si="44"/>
        <v>-2000000</v>
      </c>
      <c r="P220" s="20"/>
      <c r="Q220" s="20"/>
      <c r="R220" s="20"/>
      <c r="S220" s="20"/>
      <c r="T220" s="20">
        <f t="shared" si="44"/>
        <v>1520012.11</v>
      </c>
      <c r="U220" s="20"/>
      <c r="V220" s="20"/>
      <c r="W220" s="20"/>
      <c r="X220" s="20"/>
      <c r="Y220" s="20">
        <f t="shared" si="44"/>
        <v>600000</v>
      </c>
      <c r="Z220" s="20"/>
      <c r="AA220" s="20"/>
      <c r="AB220" s="20"/>
      <c r="AC220" s="20"/>
      <c r="AD220" s="20">
        <f t="shared" si="44"/>
        <v>600000</v>
      </c>
    </row>
    <row r="221" spans="1:38" x14ac:dyDescent="0.25">
      <c r="A221" s="5"/>
      <c r="B221" s="5" t="s">
        <v>36</v>
      </c>
      <c r="C221" s="2" t="s">
        <v>16</v>
      </c>
      <c r="D221" s="11">
        <v>1</v>
      </c>
      <c r="E221" s="11">
        <v>11</v>
      </c>
      <c r="F221" s="11">
        <v>902</v>
      </c>
      <c r="G221" s="11">
        <v>82400</v>
      </c>
      <c r="H221" s="21">
        <v>610</v>
      </c>
      <c r="I221" s="20">
        <f t="shared" si="44"/>
        <v>2000000</v>
      </c>
      <c r="J221" s="20">
        <f t="shared" si="44"/>
        <v>1600000</v>
      </c>
      <c r="K221" s="20"/>
      <c r="L221" s="20"/>
      <c r="M221" s="20"/>
      <c r="N221" s="20"/>
      <c r="O221" s="20">
        <f t="shared" si="44"/>
        <v>-2000000</v>
      </c>
      <c r="P221" s="20"/>
      <c r="Q221" s="20"/>
      <c r="R221" s="20"/>
      <c r="S221" s="20"/>
      <c r="T221" s="20">
        <f t="shared" si="44"/>
        <v>1520012.11</v>
      </c>
      <c r="U221" s="20"/>
      <c r="V221" s="20"/>
      <c r="W221" s="20"/>
      <c r="X221" s="20"/>
      <c r="Y221" s="20">
        <f t="shared" si="44"/>
        <v>600000</v>
      </c>
      <c r="Z221" s="20"/>
      <c r="AA221" s="20"/>
      <c r="AB221" s="20"/>
      <c r="AC221" s="20"/>
      <c r="AD221" s="20">
        <f t="shared" si="44"/>
        <v>600000</v>
      </c>
    </row>
    <row r="222" spans="1:38" ht="44.25" customHeight="1" x14ac:dyDescent="0.25">
      <c r="A222" s="5"/>
      <c r="B222" s="5" t="s">
        <v>108</v>
      </c>
      <c r="C222" s="2" t="s">
        <v>16</v>
      </c>
      <c r="D222" s="11">
        <v>1</v>
      </c>
      <c r="E222" s="11">
        <v>11</v>
      </c>
      <c r="F222" s="11">
        <v>902</v>
      </c>
      <c r="G222" s="11">
        <v>82400</v>
      </c>
      <c r="H222" s="21">
        <v>612</v>
      </c>
      <c r="I222" s="20">
        <v>2000000</v>
      </c>
      <c r="J222" s="20">
        <v>1600000</v>
      </c>
      <c r="K222" s="20"/>
      <c r="L222" s="20"/>
      <c r="M222" s="20"/>
      <c r="N222" s="20"/>
      <c r="O222" s="20">
        <v>-2000000</v>
      </c>
      <c r="P222" s="20"/>
      <c r="Q222" s="20"/>
      <c r="R222" s="20"/>
      <c r="S222" s="20">
        <v>-79987.89</v>
      </c>
      <c r="T222" s="20">
        <f>2000000+J222+O222+S222</f>
        <v>1520012.11</v>
      </c>
      <c r="U222" s="20"/>
      <c r="V222" s="20"/>
      <c r="W222" s="20"/>
      <c r="X222" s="20"/>
      <c r="Y222" s="20">
        <v>600000</v>
      </c>
      <c r="Z222" s="20"/>
      <c r="AA222" s="20"/>
      <c r="AB222" s="20"/>
      <c r="AC222" s="20"/>
      <c r="AD222" s="20">
        <v>600000</v>
      </c>
    </row>
    <row r="223" spans="1:38" s="44" customFormat="1" ht="41.25" customHeight="1" x14ac:dyDescent="0.25">
      <c r="A223" s="3" t="s">
        <v>109</v>
      </c>
      <c r="B223" s="49" t="s">
        <v>110</v>
      </c>
      <c r="C223" s="13" t="s">
        <v>16</v>
      </c>
      <c r="D223" s="13">
        <v>1</v>
      </c>
      <c r="E223" s="13">
        <v>11</v>
      </c>
      <c r="F223" s="13">
        <v>902</v>
      </c>
      <c r="G223" s="13">
        <v>82440</v>
      </c>
      <c r="H223" s="14"/>
      <c r="I223" s="15">
        <f>I224+I227</f>
        <v>307744</v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>
        <f>T224+T227</f>
        <v>307744</v>
      </c>
      <c r="U223" s="15"/>
      <c r="V223" s="15"/>
      <c r="W223" s="15"/>
      <c r="X223" s="15"/>
      <c r="Y223" s="15">
        <f>Y224+Y227</f>
        <v>205044</v>
      </c>
      <c r="Z223" s="15"/>
      <c r="AA223" s="15"/>
      <c r="AB223" s="15"/>
      <c r="AC223" s="15"/>
      <c r="AD223" s="15">
        <f>AD224+AD227</f>
        <v>205044</v>
      </c>
      <c r="AE223" s="44" t="s">
        <v>111</v>
      </c>
      <c r="AF223" s="30"/>
      <c r="AG223" s="30"/>
      <c r="AH223" s="30"/>
      <c r="AI223" s="30"/>
      <c r="AJ223" s="30"/>
      <c r="AK223" s="30"/>
      <c r="AL223" s="30"/>
    </row>
    <row r="224" spans="1:38" ht="46.5" customHeight="1" x14ac:dyDescent="0.25">
      <c r="A224" s="5" t="s">
        <v>26</v>
      </c>
      <c r="B224" s="5" t="s">
        <v>26</v>
      </c>
      <c r="C224" s="11" t="s">
        <v>16</v>
      </c>
      <c r="D224" s="11">
        <v>1</v>
      </c>
      <c r="E224" s="11">
        <v>11</v>
      </c>
      <c r="F224" s="11">
        <v>902</v>
      </c>
      <c r="G224" s="11">
        <v>82440</v>
      </c>
      <c r="H224" s="21">
        <v>200</v>
      </c>
      <c r="I224" s="20">
        <f t="shared" ref="I224:AD225" si="45">I225</f>
        <v>275844</v>
      </c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>
        <f t="shared" si="45"/>
        <v>275844</v>
      </c>
      <c r="U224" s="20"/>
      <c r="V224" s="20"/>
      <c r="W224" s="20"/>
      <c r="X224" s="20"/>
      <c r="Y224" s="20">
        <f t="shared" si="45"/>
        <v>205044</v>
      </c>
      <c r="Z224" s="20"/>
      <c r="AA224" s="20"/>
      <c r="AB224" s="20"/>
      <c r="AC224" s="20"/>
      <c r="AD224" s="20">
        <f t="shared" si="45"/>
        <v>205044</v>
      </c>
    </row>
    <row r="225" spans="1:30" ht="45" customHeight="1" x14ac:dyDescent="0.25">
      <c r="A225" s="5" t="s">
        <v>28</v>
      </c>
      <c r="B225" s="5" t="s">
        <v>28</v>
      </c>
      <c r="C225" s="11" t="s">
        <v>16</v>
      </c>
      <c r="D225" s="11">
        <v>1</v>
      </c>
      <c r="E225" s="11">
        <v>11</v>
      </c>
      <c r="F225" s="11">
        <v>902</v>
      </c>
      <c r="G225" s="11">
        <v>82440</v>
      </c>
      <c r="H225" s="21">
        <v>240</v>
      </c>
      <c r="I225" s="20">
        <f t="shared" si="45"/>
        <v>275844</v>
      </c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>
        <f t="shared" si="45"/>
        <v>275844</v>
      </c>
      <c r="U225" s="20"/>
      <c r="V225" s="20"/>
      <c r="W225" s="20"/>
      <c r="X225" s="20"/>
      <c r="Y225" s="20">
        <f t="shared" si="45"/>
        <v>205044</v>
      </c>
      <c r="Z225" s="20"/>
      <c r="AA225" s="20"/>
      <c r="AB225" s="20"/>
      <c r="AC225" s="20"/>
      <c r="AD225" s="20">
        <f t="shared" si="45"/>
        <v>205044</v>
      </c>
    </row>
    <row r="226" spans="1:30" ht="33.75" x14ac:dyDescent="0.25">
      <c r="A226" s="5" t="s">
        <v>30</v>
      </c>
      <c r="B226" s="5" t="s">
        <v>30</v>
      </c>
      <c r="C226" s="11" t="s">
        <v>16</v>
      </c>
      <c r="D226" s="11">
        <v>1</v>
      </c>
      <c r="E226" s="11">
        <v>11</v>
      </c>
      <c r="F226" s="11">
        <v>902</v>
      </c>
      <c r="G226" s="11">
        <v>82440</v>
      </c>
      <c r="H226" s="21">
        <v>244</v>
      </c>
      <c r="I226" s="20">
        <v>275844</v>
      </c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>
        <v>275844</v>
      </c>
      <c r="U226" s="20"/>
      <c r="V226" s="20"/>
      <c r="W226" s="20"/>
      <c r="X226" s="20"/>
      <c r="Y226" s="20">
        <v>205044</v>
      </c>
      <c r="Z226" s="20"/>
      <c r="AA226" s="20"/>
      <c r="AB226" s="20"/>
      <c r="AC226" s="20"/>
      <c r="AD226" s="20">
        <v>205044</v>
      </c>
    </row>
    <row r="227" spans="1:30" ht="22.5" x14ac:dyDescent="0.25">
      <c r="A227" s="5"/>
      <c r="B227" s="5" t="s">
        <v>34</v>
      </c>
      <c r="C227" s="11" t="s">
        <v>16</v>
      </c>
      <c r="D227" s="11">
        <v>1</v>
      </c>
      <c r="E227" s="11">
        <v>11</v>
      </c>
      <c r="F227" s="11">
        <v>902</v>
      </c>
      <c r="G227" s="11">
        <v>82440</v>
      </c>
      <c r="H227" s="21">
        <v>600</v>
      </c>
      <c r="I227" s="20">
        <f t="shared" ref="I227:AD228" si="46">I228</f>
        <v>31900</v>
      </c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>
        <f t="shared" si="46"/>
        <v>31900</v>
      </c>
      <c r="U227" s="20"/>
      <c r="V227" s="20"/>
      <c r="W227" s="20"/>
      <c r="X227" s="20"/>
      <c r="Y227" s="20">
        <f t="shared" si="46"/>
        <v>0</v>
      </c>
      <c r="Z227" s="20"/>
      <c r="AA227" s="20"/>
      <c r="AB227" s="20"/>
      <c r="AC227" s="20"/>
      <c r="AD227" s="20">
        <f t="shared" si="46"/>
        <v>0</v>
      </c>
    </row>
    <row r="228" spans="1:30" x14ac:dyDescent="0.25">
      <c r="A228" s="5"/>
      <c r="B228" s="5" t="s">
        <v>36</v>
      </c>
      <c r="C228" s="11" t="s">
        <v>16</v>
      </c>
      <c r="D228" s="11">
        <v>1</v>
      </c>
      <c r="E228" s="11">
        <v>11</v>
      </c>
      <c r="F228" s="11">
        <v>902</v>
      </c>
      <c r="G228" s="11">
        <v>82440</v>
      </c>
      <c r="H228" s="21">
        <v>610</v>
      </c>
      <c r="I228" s="20">
        <f t="shared" si="46"/>
        <v>31900</v>
      </c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>
        <f t="shared" si="46"/>
        <v>31900</v>
      </c>
      <c r="U228" s="20"/>
      <c r="V228" s="20"/>
      <c r="W228" s="20"/>
      <c r="X228" s="20"/>
      <c r="Y228" s="20">
        <f t="shared" si="46"/>
        <v>0</v>
      </c>
      <c r="Z228" s="20"/>
      <c r="AA228" s="20"/>
      <c r="AB228" s="20"/>
      <c r="AC228" s="20"/>
      <c r="AD228" s="20">
        <f t="shared" si="46"/>
        <v>0</v>
      </c>
    </row>
    <row r="229" spans="1:30" x14ac:dyDescent="0.25">
      <c r="A229" s="5"/>
      <c r="B229" s="5" t="s">
        <v>108</v>
      </c>
      <c r="C229" s="11" t="s">
        <v>16</v>
      </c>
      <c r="D229" s="11">
        <v>1</v>
      </c>
      <c r="E229" s="11">
        <v>11</v>
      </c>
      <c r="F229" s="11">
        <v>902</v>
      </c>
      <c r="G229" s="11">
        <v>82440</v>
      </c>
      <c r="H229" s="21">
        <v>612</v>
      </c>
      <c r="I229" s="20">
        <v>31900</v>
      </c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>
        <v>31900</v>
      </c>
      <c r="U229" s="20"/>
      <c r="V229" s="20"/>
      <c r="W229" s="20"/>
      <c r="X229" s="20"/>
      <c r="Y229" s="20">
        <v>0</v>
      </c>
      <c r="Z229" s="20"/>
      <c r="AA229" s="20"/>
      <c r="AB229" s="20"/>
      <c r="AC229" s="20"/>
      <c r="AD229" s="20">
        <v>0</v>
      </c>
    </row>
    <row r="230" spans="1:30" ht="35.25" hidden="1" customHeight="1" x14ac:dyDescent="0.25">
      <c r="A230" s="5"/>
      <c r="B230" s="3" t="s">
        <v>112</v>
      </c>
      <c r="C230" s="13" t="s">
        <v>16</v>
      </c>
      <c r="D230" s="13">
        <v>1</v>
      </c>
      <c r="E230" s="13">
        <v>11</v>
      </c>
      <c r="F230" s="13">
        <v>903</v>
      </c>
      <c r="G230" s="13"/>
      <c r="H230" s="21"/>
      <c r="I230" s="15">
        <f>I231</f>
        <v>0</v>
      </c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15">
        <f>T231</f>
        <v>0</v>
      </c>
      <c r="U230" s="15"/>
      <c r="V230" s="15"/>
      <c r="W230" s="15"/>
      <c r="X230" s="15"/>
      <c r="Y230" s="20"/>
      <c r="Z230" s="20"/>
      <c r="AA230" s="20"/>
      <c r="AB230" s="20"/>
      <c r="AC230" s="20"/>
      <c r="AD230" s="20"/>
    </row>
    <row r="231" spans="1:30" ht="35.25" hidden="1" customHeight="1" x14ac:dyDescent="0.25">
      <c r="A231" s="5"/>
      <c r="B231" s="49" t="s">
        <v>110</v>
      </c>
      <c r="C231" s="13" t="s">
        <v>16</v>
      </c>
      <c r="D231" s="13">
        <v>1</v>
      </c>
      <c r="E231" s="13">
        <v>11</v>
      </c>
      <c r="F231" s="13">
        <v>903</v>
      </c>
      <c r="G231" s="13">
        <v>82440</v>
      </c>
      <c r="H231" s="21"/>
      <c r="I231" s="15">
        <f>I232</f>
        <v>0</v>
      </c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15">
        <f>T232</f>
        <v>0</v>
      </c>
      <c r="U231" s="15"/>
      <c r="V231" s="15"/>
      <c r="W231" s="15"/>
      <c r="X231" s="15"/>
      <c r="Y231" s="20"/>
      <c r="Z231" s="20"/>
      <c r="AA231" s="20"/>
      <c r="AB231" s="20"/>
      <c r="AC231" s="20"/>
      <c r="AD231" s="20"/>
    </row>
    <row r="232" spans="1:30" ht="35.25" hidden="1" customHeight="1" x14ac:dyDescent="0.25">
      <c r="A232" s="5"/>
      <c r="B232" s="5" t="s">
        <v>26</v>
      </c>
      <c r="C232" s="11" t="s">
        <v>16</v>
      </c>
      <c r="D232" s="11">
        <v>1</v>
      </c>
      <c r="E232" s="11">
        <v>11</v>
      </c>
      <c r="F232" s="11">
        <v>903</v>
      </c>
      <c r="G232" s="11">
        <v>82440</v>
      </c>
      <c r="H232" s="21">
        <v>200</v>
      </c>
      <c r="I232" s="20">
        <f>I233</f>
        <v>0</v>
      </c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>
        <f>T233</f>
        <v>0</v>
      </c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:30" ht="35.25" hidden="1" customHeight="1" x14ac:dyDescent="0.25">
      <c r="A233" s="5"/>
      <c r="B233" s="5" t="s">
        <v>28</v>
      </c>
      <c r="C233" s="11" t="s">
        <v>16</v>
      </c>
      <c r="D233" s="11">
        <v>1</v>
      </c>
      <c r="E233" s="11">
        <v>11</v>
      </c>
      <c r="F233" s="11">
        <v>903</v>
      </c>
      <c r="G233" s="11">
        <v>82440</v>
      </c>
      <c r="H233" s="21">
        <v>240</v>
      </c>
      <c r="I233" s="20">
        <f>I234</f>
        <v>0</v>
      </c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>
        <f>T234</f>
        <v>0</v>
      </c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:30" ht="35.25" hidden="1" customHeight="1" x14ac:dyDescent="0.25">
      <c r="A234" s="5"/>
      <c r="B234" s="5" t="s">
        <v>30</v>
      </c>
      <c r="C234" s="11" t="s">
        <v>16</v>
      </c>
      <c r="D234" s="11">
        <v>1</v>
      </c>
      <c r="E234" s="11">
        <v>11</v>
      </c>
      <c r="F234" s="11">
        <v>903</v>
      </c>
      <c r="G234" s="11">
        <v>82440</v>
      </c>
      <c r="H234" s="21">
        <v>244</v>
      </c>
      <c r="I234" s="20">
        <v>0</v>
      </c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>
        <v>0</v>
      </c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:30" ht="35.25" hidden="1" customHeight="1" x14ac:dyDescent="0.25">
      <c r="A235" s="5"/>
      <c r="B235" s="3" t="s">
        <v>113</v>
      </c>
      <c r="C235" s="13" t="s">
        <v>16</v>
      </c>
      <c r="D235" s="13">
        <v>1</v>
      </c>
      <c r="E235" s="13">
        <v>11</v>
      </c>
      <c r="F235" s="13">
        <v>904</v>
      </c>
      <c r="G235" s="13"/>
      <c r="H235" s="21"/>
      <c r="I235" s="15">
        <f>I236</f>
        <v>0</v>
      </c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15">
        <f>T236</f>
        <v>0</v>
      </c>
      <c r="U235" s="15"/>
      <c r="V235" s="15"/>
      <c r="W235" s="15"/>
      <c r="X235" s="15"/>
      <c r="Y235" s="20"/>
      <c r="Z235" s="20"/>
      <c r="AA235" s="20"/>
      <c r="AB235" s="20"/>
      <c r="AC235" s="20"/>
      <c r="AD235" s="20"/>
    </row>
    <row r="236" spans="1:30" ht="35.25" hidden="1" customHeight="1" x14ac:dyDescent="0.25">
      <c r="A236" s="5"/>
      <c r="B236" s="49" t="s">
        <v>110</v>
      </c>
      <c r="C236" s="13" t="s">
        <v>16</v>
      </c>
      <c r="D236" s="13">
        <v>1</v>
      </c>
      <c r="E236" s="13">
        <v>11</v>
      </c>
      <c r="F236" s="13">
        <v>904</v>
      </c>
      <c r="G236" s="13">
        <v>82440</v>
      </c>
      <c r="H236" s="21"/>
      <c r="I236" s="15">
        <f>I237</f>
        <v>0</v>
      </c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15">
        <f>T237</f>
        <v>0</v>
      </c>
      <c r="U236" s="15"/>
      <c r="V236" s="15"/>
      <c r="W236" s="15"/>
      <c r="X236" s="15"/>
      <c r="Y236" s="20"/>
      <c r="Z236" s="20"/>
      <c r="AA236" s="20"/>
      <c r="AB236" s="20"/>
      <c r="AC236" s="20"/>
      <c r="AD236" s="20"/>
    </row>
    <row r="237" spans="1:30" ht="35.25" hidden="1" customHeight="1" x14ac:dyDescent="0.25">
      <c r="A237" s="5"/>
      <c r="B237" s="5" t="s">
        <v>26</v>
      </c>
      <c r="C237" s="11" t="s">
        <v>16</v>
      </c>
      <c r="D237" s="11">
        <v>1</v>
      </c>
      <c r="E237" s="11">
        <v>11</v>
      </c>
      <c r="F237" s="11">
        <v>904</v>
      </c>
      <c r="G237" s="11">
        <v>82440</v>
      </c>
      <c r="H237" s="21">
        <v>200</v>
      </c>
      <c r="I237" s="20">
        <f>I238</f>
        <v>0</v>
      </c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>
        <f>T238</f>
        <v>0</v>
      </c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 ht="35.25" hidden="1" customHeight="1" x14ac:dyDescent="0.25">
      <c r="A238" s="5"/>
      <c r="B238" s="5" t="s">
        <v>28</v>
      </c>
      <c r="C238" s="11" t="s">
        <v>16</v>
      </c>
      <c r="D238" s="11">
        <v>1</v>
      </c>
      <c r="E238" s="11">
        <v>11</v>
      </c>
      <c r="F238" s="11">
        <v>904</v>
      </c>
      <c r="G238" s="11">
        <v>82440</v>
      </c>
      <c r="H238" s="21">
        <v>240</v>
      </c>
      <c r="I238" s="20">
        <f>I239</f>
        <v>0</v>
      </c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>
        <f>T239</f>
        <v>0</v>
      </c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ht="35.25" hidden="1" customHeight="1" x14ac:dyDescent="0.25">
      <c r="A239" s="5"/>
      <c r="B239" s="5" t="s">
        <v>30</v>
      </c>
      <c r="C239" s="11" t="s">
        <v>16</v>
      </c>
      <c r="D239" s="11">
        <v>1</v>
      </c>
      <c r="E239" s="11">
        <v>11</v>
      </c>
      <c r="F239" s="11">
        <v>904</v>
      </c>
      <c r="G239" s="11">
        <v>82440</v>
      </c>
      <c r="H239" s="21">
        <v>244</v>
      </c>
      <c r="I239" s="20">
        <v>0</v>
      </c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>
        <v>0</v>
      </c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1:30" ht="35.25" hidden="1" customHeight="1" x14ac:dyDescent="0.25">
      <c r="A240" s="5"/>
      <c r="B240" s="3" t="s">
        <v>114</v>
      </c>
      <c r="C240" s="13" t="s">
        <v>16</v>
      </c>
      <c r="D240" s="13">
        <v>1</v>
      </c>
      <c r="E240" s="13">
        <v>11</v>
      </c>
      <c r="F240" s="13">
        <v>905</v>
      </c>
      <c r="G240" s="13"/>
      <c r="H240" s="21"/>
      <c r="I240" s="15">
        <f>I241</f>
        <v>0</v>
      </c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15">
        <f>T241</f>
        <v>0</v>
      </c>
      <c r="U240" s="15"/>
      <c r="V240" s="15"/>
      <c r="W240" s="15"/>
      <c r="X240" s="15"/>
      <c r="Y240" s="20"/>
      <c r="Z240" s="20"/>
      <c r="AA240" s="20"/>
      <c r="AB240" s="20"/>
      <c r="AC240" s="20"/>
      <c r="AD240" s="20"/>
    </row>
    <row r="241" spans="1:38" ht="35.25" hidden="1" customHeight="1" x14ac:dyDescent="0.25">
      <c r="A241" s="5"/>
      <c r="B241" s="49" t="s">
        <v>110</v>
      </c>
      <c r="C241" s="13" t="s">
        <v>16</v>
      </c>
      <c r="D241" s="13">
        <v>1</v>
      </c>
      <c r="E241" s="13">
        <v>11</v>
      </c>
      <c r="F241" s="13">
        <v>905</v>
      </c>
      <c r="G241" s="13">
        <v>82440</v>
      </c>
      <c r="H241" s="21"/>
      <c r="I241" s="15">
        <f>I242</f>
        <v>0</v>
      </c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15">
        <f>T242</f>
        <v>0</v>
      </c>
      <c r="U241" s="15"/>
      <c r="V241" s="15"/>
      <c r="W241" s="15"/>
      <c r="X241" s="15"/>
      <c r="Y241" s="20"/>
      <c r="Z241" s="20"/>
      <c r="AA241" s="20"/>
      <c r="AB241" s="20"/>
      <c r="AC241" s="20"/>
      <c r="AD241" s="20"/>
    </row>
    <row r="242" spans="1:38" ht="35.25" hidden="1" customHeight="1" x14ac:dyDescent="0.25">
      <c r="A242" s="5"/>
      <c r="B242" s="5" t="s">
        <v>26</v>
      </c>
      <c r="C242" s="11" t="s">
        <v>16</v>
      </c>
      <c r="D242" s="11">
        <v>1</v>
      </c>
      <c r="E242" s="11">
        <v>11</v>
      </c>
      <c r="F242" s="11">
        <v>905</v>
      </c>
      <c r="G242" s="11">
        <v>82440</v>
      </c>
      <c r="H242" s="21">
        <v>200</v>
      </c>
      <c r="I242" s="20">
        <f>I243</f>
        <v>0</v>
      </c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>
        <f>T243</f>
        <v>0</v>
      </c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1:38" ht="35.25" hidden="1" customHeight="1" x14ac:dyDescent="0.25">
      <c r="A243" s="5"/>
      <c r="B243" s="5" t="s">
        <v>28</v>
      </c>
      <c r="C243" s="11" t="s">
        <v>16</v>
      </c>
      <c r="D243" s="11">
        <v>1</v>
      </c>
      <c r="E243" s="11">
        <v>11</v>
      </c>
      <c r="F243" s="11">
        <v>905</v>
      </c>
      <c r="G243" s="11">
        <v>82440</v>
      </c>
      <c r="H243" s="21">
        <v>240</v>
      </c>
      <c r="I243" s="20">
        <f>I244</f>
        <v>0</v>
      </c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>
        <f>T244</f>
        <v>0</v>
      </c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:38" ht="35.25" hidden="1" customHeight="1" x14ac:dyDescent="0.25">
      <c r="A244" s="5"/>
      <c r="B244" s="5" t="s">
        <v>30</v>
      </c>
      <c r="C244" s="11" t="s">
        <v>16</v>
      </c>
      <c r="D244" s="11">
        <v>1</v>
      </c>
      <c r="E244" s="11">
        <v>11</v>
      </c>
      <c r="F244" s="11">
        <v>905</v>
      </c>
      <c r="G244" s="11">
        <v>82440</v>
      </c>
      <c r="H244" s="21">
        <v>244</v>
      </c>
      <c r="I244" s="20">
        <v>0</v>
      </c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>
        <v>0</v>
      </c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:38" ht="35.25" hidden="1" customHeight="1" x14ac:dyDescent="0.25">
      <c r="A245" s="5"/>
      <c r="B245" s="3" t="s">
        <v>115</v>
      </c>
      <c r="C245" s="13" t="s">
        <v>16</v>
      </c>
      <c r="D245" s="13">
        <v>1</v>
      </c>
      <c r="E245" s="13">
        <v>11</v>
      </c>
      <c r="F245" s="13">
        <v>961</v>
      </c>
      <c r="G245" s="13"/>
      <c r="H245" s="21"/>
      <c r="I245" s="15">
        <f>I246</f>
        <v>0</v>
      </c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15">
        <f>T246</f>
        <v>0</v>
      </c>
      <c r="U245" s="15"/>
      <c r="V245" s="15"/>
      <c r="W245" s="15"/>
      <c r="X245" s="15"/>
      <c r="Y245" s="20"/>
      <c r="Z245" s="20"/>
      <c r="AA245" s="20"/>
      <c r="AB245" s="20"/>
      <c r="AC245" s="20"/>
      <c r="AD245" s="20"/>
    </row>
    <row r="246" spans="1:38" ht="35.25" hidden="1" customHeight="1" x14ac:dyDescent="0.25">
      <c r="A246" s="5"/>
      <c r="B246" s="49" t="s">
        <v>110</v>
      </c>
      <c r="C246" s="13" t="s">
        <v>16</v>
      </c>
      <c r="D246" s="13">
        <v>1</v>
      </c>
      <c r="E246" s="13">
        <v>11</v>
      </c>
      <c r="F246" s="13">
        <v>961</v>
      </c>
      <c r="G246" s="13">
        <v>82440</v>
      </c>
      <c r="H246" s="21"/>
      <c r="I246" s="15">
        <f>I247</f>
        <v>0</v>
      </c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15">
        <f>T247</f>
        <v>0</v>
      </c>
      <c r="U246" s="15"/>
      <c r="V246" s="15"/>
      <c r="W246" s="15"/>
      <c r="X246" s="15"/>
      <c r="Y246" s="20"/>
      <c r="Z246" s="20"/>
      <c r="AA246" s="20"/>
      <c r="AB246" s="20"/>
      <c r="AC246" s="20"/>
      <c r="AD246" s="20"/>
    </row>
    <row r="247" spans="1:38" ht="35.25" hidden="1" customHeight="1" x14ac:dyDescent="0.25">
      <c r="A247" s="5"/>
      <c r="B247" s="5" t="s">
        <v>26</v>
      </c>
      <c r="C247" s="11" t="s">
        <v>16</v>
      </c>
      <c r="D247" s="11">
        <v>1</v>
      </c>
      <c r="E247" s="11">
        <v>11</v>
      </c>
      <c r="F247" s="11">
        <v>961</v>
      </c>
      <c r="G247" s="11">
        <v>82440</v>
      </c>
      <c r="H247" s="21">
        <v>200</v>
      </c>
      <c r="I247" s="20">
        <f>I248</f>
        <v>0</v>
      </c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>
        <f>T248</f>
        <v>0</v>
      </c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1:38" ht="35.25" hidden="1" customHeight="1" x14ac:dyDescent="0.25">
      <c r="A248" s="5"/>
      <c r="B248" s="5" t="s">
        <v>28</v>
      </c>
      <c r="C248" s="11" t="s">
        <v>16</v>
      </c>
      <c r="D248" s="11">
        <v>1</v>
      </c>
      <c r="E248" s="11">
        <v>11</v>
      </c>
      <c r="F248" s="11">
        <v>961</v>
      </c>
      <c r="G248" s="11">
        <v>82440</v>
      </c>
      <c r="H248" s="21">
        <v>240</v>
      </c>
      <c r="I248" s="20">
        <f>I249</f>
        <v>0</v>
      </c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>
        <f>T249</f>
        <v>0</v>
      </c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1:38" ht="43.5" hidden="1" customHeight="1" x14ac:dyDescent="0.25">
      <c r="A249" s="5"/>
      <c r="B249" s="5" t="s">
        <v>30</v>
      </c>
      <c r="C249" s="11" t="s">
        <v>16</v>
      </c>
      <c r="D249" s="11">
        <v>1</v>
      </c>
      <c r="E249" s="11">
        <v>11</v>
      </c>
      <c r="F249" s="11">
        <v>961</v>
      </c>
      <c r="G249" s="11">
        <v>82440</v>
      </c>
      <c r="H249" s="21">
        <v>244</v>
      </c>
      <c r="I249" s="20">
        <v>0</v>
      </c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>
        <v>0</v>
      </c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1:38" ht="21" x14ac:dyDescent="0.25">
      <c r="A250" s="5"/>
      <c r="B250" s="49" t="s">
        <v>116</v>
      </c>
      <c r="C250" s="19" t="s">
        <v>16</v>
      </c>
      <c r="D250" s="13">
        <v>1</v>
      </c>
      <c r="E250" s="13">
        <v>11</v>
      </c>
      <c r="F250" s="13">
        <v>902</v>
      </c>
      <c r="G250" s="13">
        <v>82450</v>
      </c>
      <c r="H250" s="18" t="s">
        <v>33</v>
      </c>
      <c r="I250" s="15">
        <f t="shared" ref="I250:AD252" si="47">I251</f>
        <v>5063973.87</v>
      </c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15">
        <f t="shared" si="47"/>
        <v>5063973.87</v>
      </c>
      <c r="U250" s="15"/>
      <c r="V250" s="15"/>
      <c r="W250" s="15"/>
      <c r="X250" s="15"/>
      <c r="Y250" s="15">
        <f t="shared" si="47"/>
        <v>5259008.3499999996</v>
      </c>
      <c r="Z250" s="15"/>
      <c r="AA250" s="15"/>
      <c r="AB250" s="15"/>
      <c r="AC250" s="15"/>
      <c r="AD250" s="15">
        <f t="shared" si="47"/>
        <v>5469368.6799999997</v>
      </c>
    </row>
    <row r="251" spans="1:38" ht="35.25" customHeight="1" x14ac:dyDescent="0.25">
      <c r="A251" s="5"/>
      <c r="B251" s="5" t="s">
        <v>40</v>
      </c>
      <c r="C251" s="2" t="s">
        <v>16</v>
      </c>
      <c r="D251" s="11">
        <v>1</v>
      </c>
      <c r="E251" s="11">
        <v>11</v>
      </c>
      <c r="F251" s="11">
        <v>902</v>
      </c>
      <c r="G251" s="11">
        <v>82450</v>
      </c>
      <c r="H251" s="21" t="s">
        <v>117</v>
      </c>
      <c r="I251" s="20">
        <f t="shared" si="47"/>
        <v>5063973.87</v>
      </c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>
        <f t="shared" si="47"/>
        <v>5063973.87</v>
      </c>
      <c r="U251" s="20"/>
      <c r="V251" s="20"/>
      <c r="W251" s="20"/>
      <c r="X251" s="20"/>
      <c r="Y251" s="20">
        <f t="shared" si="47"/>
        <v>5259008.3499999996</v>
      </c>
      <c r="Z251" s="20"/>
      <c r="AA251" s="20"/>
      <c r="AB251" s="20"/>
      <c r="AC251" s="20"/>
      <c r="AD251" s="20">
        <f t="shared" si="47"/>
        <v>5469368.6799999997</v>
      </c>
    </row>
    <row r="252" spans="1:38" ht="35.25" customHeight="1" x14ac:dyDescent="0.25">
      <c r="A252" s="5"/>
      <c r="B252" s="5" t="s">
        <v>41</v>
      </c>
      <c r="C252" s="2" t="s">
        <v>16</v>
      </c>
      <c r="D252" s="11">
        <v>1</v>
      </c>
      <c r="E252" s="11">
        <v>11</v>
      </c>
      <c r="F252" s="11">
        <v>902</v>
      </c>
      <c r="G252" s="11">
        <v>82450</v>
      </c>
      <c r="H252" s="21">
        <v>320</v>
      </c>
      <c r="I252" s="20">
        <f t="shared" si="47"/>
        <v>5063973.87</v>
      </c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>
        <f t="shared" si="47"/>
        <v>5063973.87</v>
      </c>
      <c r="U252" s="20"/>
      <c r="V252" s="20"/>
      <c r="W252" s="20"/>
      <c r="X252" s="20"/>
      <c r="Y252" s="20">
        <f t="shared" si="47"/>
        <v>5259008.3499999996</v>
      </c>
      <c r="Z252" s="20"/>
      <c r="AA252" s="20"/>
      <c r="AB252" s="20"/>
      <c r="AC252" s="20"/>
      <c r="AD252" s="20">
        <f t="shared" si="47"/>
        <v>5469368.6799999997</v>
      </c>
    </row>
    <row r="253" spans="1:38" ht="35.25" customHeight="1" x14ac:dyDescent="0.25">
      <c r="A253" s="5"/>
      <c r="B253" s="5" t="s">
        <v>42</v>
      </c>
      <c r="C253" s="2" t="s">
        <v>16</v>
      </c>
      <c r="D253" s="11">
        <v>1</v>
      </c>
      <c r="E253" s="11">
        <v>11</v>
      </c>
      <c r="F253" s="11">
        <v>902</v>
      </c>
      <c r="G253" s="11">
        <v>82450</v>
      </c>
      <c r="H253" s="21" t="s">
        <v>118</v>
      </c>
      <c r="I253" s="20">
        <v>5063973.87</v>
      </c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>
        <v>5063973.87</v>
      </c>
      <c r="U253" s="20"/>
      <c r="V253" s="20"/>
      <c r="W253" s="20"/>
      <c r="X253" s="20"/>
      <c r="Y253" s="20">
        <v>5259008.3499999996</v>
      </c>
      <c r="Z253" s="20"/>
      <c r="AA253" s="20"/>
      <c r="AB253" s="20"/>
      <c r="AC253" s="20"/>
      <c r="AD253" s="20">
        <v>5469368.6799999997</v>
      </c>
    </row>
    <row r="254" spans="1:38" s="44" customFormat="1" ht="35.25" customHeight="1" x14ac:dyDescent="0.25">
      <c r="A254" s="3"/>
      <c r="B254" s="3" t="s">
        <v>119</v>
      </c>
      <c r="C254" s="19" t="s">
        <v>16</v>
      </c>
      <c r="D254" s="13">
        <v>1</v>
      </c>
      <c r="E254" s="13">
        <v>11</v>
      </c>
      <c r="F254" s="13">
        <v>902</v>
      </c>
      <c r="G254" s="13">
        <v>82530</v>
      </c>
      <c r="H254" s="14"/>
      <c r="I254" s="15">
        <f t="shared" ref="I254:AD256" si="48">I255</f>
        <v>900744</v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>
        <f t="shared" si="48"/>
        <v>900744</v>
      </c>
      <c r="U254" s="15"/>
      <c r="V254" s="15"/>
      <c r="W254" s="15"/>
      <c r="X254" s="15"/>
      <c r="Y254" s="15">
        <f t="shared" si="48"/>
        <v>500000</v>
      </c>
      <c r="Z254" s="15"/>
      <c r="AA254" s="15"/>
      <c r="AB254" s="15"/>
      <c r="AC254" s="15"/>
      <c r="AD254" s="15">
        <f t="shared" si="48"/>
        <v>500000</v>
      </c>
      <c r="AF254" s="30"/>
      <c r="AG254" s="30"/>
      <c r="AH254" s="30"/>
      <c r="AI254" s="30"/>
      <c r="AJ254" s="30"/>
      <c r="AK254" s="30"/>
      <c r="AL254" s="30"/>
    </row>
    <row r="255" spans="1:38" ht="35.25" customHeight="1" x14ac:dyDescent="0.25">
      <c r="A255" s="5"/>
      <c r="B255" s="5" t="s">
        <v>26</v>
      </c>
      <c r="C255" s="2" t="s">
        <v>16</v>
      </c>
      <c r="D255" s="11">
        <v>1</v>
      </c>
      <c r="E255" s="11">
        <v>11</v>
      </c>
      <c r="F255" s="11">
        <v>902</v>
      </c>
      <c r="G255" s="11">
        <v>82530</v>
      </c>
      <c r="H255" s="21">
        <v>200</v>
      </c>
      <c r="I255" s="20">
        <f t="shared" si="48"/>
        <v>900744</v>
      </c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>
        <f t="shared" si="48"/>
        <v>900744</v>
      </c>
      <c r="U255" s="20"/>
      <c r="V255" s="20"/>
      <c r="W255" s="20"/>
      <c r="X255" s="20"/>
      <c r="Y255" s="20">
        <f t="shared" si="48"/>
        <v>500000</v>
      </c>
      <c r="Z255" s="20"/>
      <c r="AA255" s="20"/>
      <c r="AB255" s="20"/>
      <c r="AC255" s="20"/>
      <c r="AD255" s="20">
        <f t="shared" si="48"/>
        <v>500000</v>
      </c>
    </row>
    <row r="256" spans="1:38" ht="35.25" customHeight="1" x14ac:dyDescent="0.25">
      <c r="A256" s="5"/>
      <c r="B256" s="5" t="s">
        <v>28</v>
      </c>
      <c r="C256" s="2" t="s">
        <v>16</v>
      </c>
      <c r="D256" s="11">
        <v>1</v>
      </c>
      <c r="E256" s="11">
        <v>11</v>
      </c>
      <c r="F256" s="11">
        <v>902</v>
      </c>
      <c r="G256" s="11">
        <v>82530</v>
      </c>
      <c r="H256" s="21">
        <v>240</v>
      </c>
      <c r="I256" s="20">
        <f t="shared" si="48"/>
        <v>900744</v>
      </c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>
        <f t="shared" si="48"/>
        <v>900744</v>
      </c>
      <c r="U256" s="20"/>
      <c r="V256" s="20"/>
      <c r="W256" s="20"/>
      <c r="X256" s="20"/>
      <c r="Y256" s="20">
        <f t="shared" si="48"/>
        <v>500000</v>
      </c>
      <c r="Z256" s="20"/>
      <c r="AA256" s="20"/>
      <c r="AB256" s="20"/>
      <c r="AC256" s="20"/>
      <c r="AD256" s="20">
        <f t="shared" si="48"/>
        <v>500000</v>
      </c>
    </row>
    <row r="257" spans="1:38" ht="35.25" customHeight="1" x14ac:dyDescent="0.25">
      <c r="A257" s="5"/>
      <c r="B257" s="5" t="s">
        <v>30</v>
      </c>
      <c r="C257" s="2" t="s">
        <v>16</v>
      </c>
      <c r="D257" s="11">
        <v>1</v>
      </c>
      <c r="E257" s="11">
        <v>11</v>
      </c>
      <c r="F257" s="11">
        <v>902</v>
      </c>
      <c r="G257" s="11">
        <v>82530</v>
      </c>
      <c r="H257" s="21">
        <v>244</v>
      </c>
      <c r="I257" s="20">
        <v>900744</v>
      </c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>
        <v>900744</v>
      </c>
      <c r="U257" s="20"/>
      <c r="V257" s="20"/>
      <c r="W257" s="20"/>
      <c r="X257" s="20"/>
      <c r="Y257" s="20">
        <v>500000</v>
      </c>
      <c r="Z257" s="20"/>
      <c r="AA257" s="20"/>
      <c r="AB257" s="20"/>
      <c r="AC257" s="20"/>
      <c r="AD257" s="20">
        <v>500000</v>
      </c>
    </row>
    <row r="258" spans="1:38" ht="35.25" customHeight="1" x14ac:dyDescent="0.25">
      <c r="A258" s="5"/>
      <c r="B258" s="38" t="s">
        <v>120</v>
      </c>
      <c r="C258" s="19" t="s">
        <v>16</v>
      </c>
      <c r="D258" s="13">
        <v>1</v>
      </c>
      <c r="E258" s="13">
        <v>11</v>
      </c>
      <c r="F258" s="13">
        <v>902</v>
      </c>
      <c r="G258" s="13">
        <v>83250</v>
      </c>
      <c r="H258" s="14"/>
      <c r="I258" s="15">
        <f t="shared" ref="I258:AD260" si="49">I259</f>
        <v>100000</v>
      </c>
      <c r="J258" s="15"/>
      <c r="K258" s="15">
        <f t="shared" si="49"/>
        <v>-100000</v>
      </c>
      <c r="L258" s="15"/>
      <c r="M258" s="15"/>
      <c r="N258" s="15"/>
      <c r="O258" s="15"/>
      <c r="P258" s="15"/>
      <c r="Q258" s="15"/>
      <c r="R258" s="15"/>
      <c r="S258" s="15"/>
      <c r="T258" s="15">
        <f t="shared" si="49"/>
        <v>0</v>
      </c>
      <c r="U258" s="15"/>
      <c r="V258" s="15"/>
      <c r="W258" s="15"/>
      <c r="X258" s="15"/>
      <c r="Y258" s="15">
        <f t="shared" si="49"/>
        <v>100000</v>
      </c>
      <c r="Z258" s="15"/>
      <c r="AA258" s="15"/>
      <c r="AB258" s="15"/>
      <c r="AC258" s="15"/>
      <c r="AD258" s="15">
        <f t="shared" si="49"/>
        <v>100000</v>
      </c>
    </row>
    <row r="259" spans="1:38" ht="35.25" customHeight="1" x14ac:dyDescent="0.25">
      <c r="A259" s="5"/>
      <c r="B259" s="38" t="s">
        <v>121</v>
      </c>
      <c r="C259" s="2" t="s">
        <v>16</v>
      </c>
      <c r="D259" s="11">
        <v>1</v>
      </c>
      <c r="E259" s="11">
        <v>11</v>
      </c>
      <c r="F259" s="11">
        <v>902</v>
      </c>
      <c r="G259" s="11">
        <v>83250</v>
      </c>
      <c r="H259" s="21">
        <v>800</v>
      </c>
      <c r="I259" s="20">
        <f t="shared" si="49"/>
        <v>100000</v>
      </c>
      <c r="J259" s="20"/>
      <c r="K259" s="20">
        <f t="shared" si="49"/>
        <v>-100000</v>
      </c>
      <c r="L259" s="20"/>
      <c r="M259" s="20"/>
      <c r="N259" s="20"/>
      <c r="O259" s="20"/>
      <c r="P259" s="20"/>
      <c r="Q259" s="20"/>
      <c r="R259" s="20"/>
      <c r="S259" s="20"/>
      <c r="T259" s="20">
        <f t="shared" si="49"/>
        <v>0</v>
      </c>
      <c r="U259" s="20"/>
      <c r="V259" s="20"/>
      <c r="W259" s="20"/>
      <c r="X259" s="20"/>
      <c r="Y259" s="20">
        <f t="shared" si="49"/>
        <v>100000</v>
      </c>
      <c r="Z259" s="20"/>
      <c r="AA259" s="20"/>
      <c r="AB259" s="20"/>
      <c r="AC259" s="20"/>
      <c r="AD259" s="20">
        <f t="shared" si="49"/>
        <v>100000</v>
      </c>
    </row>
    <row r="260" spans="1:38" ht="35.25" customHeight="1" x14ac:dyDescent="0.25">
      <c r="A260" s="5"/>
      <c r="B260" s="38" t="s">
        <v>122</v>
      </c>
      <c r="C260" s="2" t="s">
        <v>16</v>
      </c>
      <c r="D260" s="11">
        <v>1</v>
      </c>
      <c r="E260" s="11">
        <v>11</v>
      </c>
      <c r="F260" s="11">
        <v>902</v>
      </c>
      <c r="G260" s="11">
        <v>83250</v>
      </c>
      <c r="H260" s="21">
        <v>810</v>
      </c>
      <c r="I260" s="20">
        <f t="shared" si="49"/>
        <v>100000</v>
      </c>
      <c r="J260" s="20"/>
      <c r="K260" s="20">
        <f t="shared" si="49"/>
        <v>-100000</v>
      </c>
      <c r="L260" s="20"/>
      <c r="M260" s="20"/>
      <c r="N260" s="20"/>
      <c r="O260" s="20"/>
      <c r="P260" s="20"/>
      <c r="Q260" s="20"/>
      <c r="R260" s="20"/>
      <c r="S260" s="20"/>
      <c r="T260" s="20">
        <f t="shared" si="49"/>
        <v>0</v>
      </c>
      <c r="U260" s="20"/>
      <c r="V260" s="20"/>
      <c r="W260" s="20"/>
      <c r="X260" s="20"/>
      <c r="Y260" s="20">
        <f t="shared" si="49"/>
        <v>100000</v>
      </c>
      <c r="Z260" s="20"/>
      <c r="AA260" s="20"/>
      <c r="AB260" s="20"/>
      <c r="AC260" s="20"/>
      <c r="AD260" s="20">
        <f t="shared" si="49"/>
        <v>100000</v>
      </c>
    </row>
    <row r="261" spans="1:38" ht="35.25" customHeight="1" x14ac:dyDescent="0.25">
      <c r="A261" s="5"/>
      <c r="B261" s="38" t="s">
        <v>123</v>
      </c>
      <c r="C261" s="2" t="s">
        <v>16</v>
      </c>
      <c r="D261" s="11">
        <v>1</v>
      </c>
      <c r="E261" s="11">
        <v>11</v>
      </c>
      <c r="F261" s="11">
        <v>902</v>
      </c>
      <c r="G261" s="11">
        <v>83250</v>
      </c>
      <c r="H261" s="21">
        <v>814</v>
      </c>
      <c r="I261" s="20">
        <v>100000</v>
      </c>
      <c r="J261" s="20"/>
      <c r="K261" s="20">
        <v>-100000</v>
      </c>
      <c r="L261" s="20"/>
      <c r="M261" s="20"/>
      <c r="N261" s="20"/>
      <c r="O261" s="20"/>
      <c r="P261" s="20"/>
      <c r="Q261" s="20"/>
      <c r="R261" s="20"/>
      <c r="S261" s="20"/>
      <c r="T261" s="20">
        <f>100000+K261</f>
        <v>0</v>
      </c>
      <c r="U261" s="20"/>
      <c r="V261" s="20"/>
      <c r="W261" s="20"/>
      <c r="X261" s="20"/>
      <c r="Y261" s="20">
        <v>100000</v>
      </c>
      <c r="Z261" s="20"/>
      <c r="AA261" s="20"/>
      <c r="AB261" s="20"/>
      <c r="AC261" s="20"/>
      <c r="AD261" s="20">
        <v>100000</v>
      </c>
    </row>
    <row r="262" spans="1:38" ht="53.25" customHeight="1" x14ac:dyDescent="0.25">
      <c r="A262" s="5"/>
      <c r="B262" s="3" t="s">
        <v>124</v>
      </c>
      <c r="C262" s="19" t="s">
        <v>16</v>
      </c>
      <c r="D262" s="13">
        <v>1</v>
      </c>
      <c r="E262" s="13">
        <v>11</v>
      </c>
      <c r="F262" s="13">
        <v>902</v>
      </c>
      <c r="G262" s="13">
        <v>83270</v>
      </c>
      <c r="H262" s="14"/>
      <c r="I262" s="15">
        <f>I263+I266</f>
        <v>0</v>
      </c>
      <c r="J262" s="15"/>
      <c r="K262" s="15">
        <f>K263+K266</f>
        <v>100000</v>
      </c>
      <c r="L262" s="15">
        <f>L263+L266</f>
        <v>80000</v>
      </c>
      <c r="M262" s="15"/>
      <c r="N262" s="15"/>
      <c r="O262" s="15"/>
      <c r="P262" s="15">
        <f>P263+P266</f>
        <v>1200000</v>
      </c>
      <c r="Q262" s="15"/>
      <c r="R262" s="15"/>
      <c r="S262" s="15"/>
      <c r="T262" s="15">
        <f>T263+T266</f>
        <v>1380000</v>
      </c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8" ht="35.25" hidden="1" customHeight="1" x14ac:dyDescent="0.25">
      <c r="A263" s="5"/>
      <c r="B263" s="5" t="s">
        <v>26</v>
      </c>
      <c r="C263" s="2" t="s">
        <v>16</v>
      </c>
      <c r="D263" s="11">
        <v>1</v>
      </c>
      <c r="E263" s="11">
        <v>11</v>
      </c>
      <c r="F263" s="11">
        <v>902</v>
      </c>
      <c r="G263" s="11">
        <v>83270</v>
      </c>
      <c r="H263" s="21">
        <v>200</v>
      </c>
      <c r="I263" s="20">
        <f>I264</f>
        <v>0</v>
      </c>
      <c r="J263" s="20"/>
      <c r="K263" s="20">
        <f t="shared" ref="K263:T264" si="50">K264</f>
        <v>0</v>
      </c>
      <c r="L263" s="20">
        <f t="shared" si="50"/>
        <v>0</v>
      </c>
      <c r="M263" s="20"/>
      <c r="N263" s="20"/>
      <c r="O263" s="20"/>
      <c r="P263" s="20">
        <f t="shared" si="50"/>
        <v>0</v>
      </c>
      <c r="Q263" s="20"/>
      <c r="R263" s="20"/>
      <c r="S263" s="20"/>
      <c r="T263" s="20">
        <f t="shared" si="50"/>
        <v>0</v>
      </c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</row>
    <row r="264" spans="1:38" ht="35.25" hidden="1" customHeight="1" x14ac:dyDescent="0.25">
      <c r="A264" s="5"/>
      <c r="B264" s="5" t="s">
        <v>28</v>
      </c>
      <c r="C264" s="2" t="s">
        <v>16</v>
      </c>
      <c r="D264" s="11">
        <v>1</v>
      </c>
      <c r="E264" s="11">
        <v>11</v>
      </c>
      <c r="F264" s="11">
        <v>902</v>
      </c>
      <c r="G264" s="11">
        <v>83270</v>
      </c>
      <c r="H264" s="21">
        <v>240</v>
      </c>
      <c r="I264" s="20">
        <f>I265</f>
        <v>0</v>
      </c>
      <c r="J264" s="20"/>
      <c r="K264" s="20">
        <f t="shared" si="50"/>
        <v>0</v>
      </c>
      <c r="L264" s="20">
        <f t="shared" si="50"/>
        <v>0</v>
      </c>
      <c r="M264" s="20"/>
      <c r="N264" s="20"/>
      <c r="O264" s="20"/>
      <c r="P264" s="20">
        <f t="shared" si="50"/>
        <v>0</v>
      </c>
      <c r="Q264" s="20"/>
      <c r="R264" s="20"/>
      <c r="S264" s="20"/>
      <c r="T264" s="20">
        <f t="shared" si="50"/>
        <v>0</v>
      </c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</row>
    <row r="265" spans="1:38" ht="35.25" hidden="1" customHeight="1" x14ac:dyDescent="0.25">
      <c r="A265" s="5"/>
      <c r="B265" s="5" t="s">
        <v>30</v>
      </c>
      <c r="C265" s="2" t="s">
        <v>16</v>
      </c>
      <c r="D265" s="11">
        <v>1</v>
      </c>
      <c r="E265" s="11">
        <v>11</v>
      </c>
      <c r="F265" s="11">
        <v>902</v>
      </c>
      <c r="G265" s="11">
        <v>83270</v>
      </c>
      <c r="H265" s="21">
        <v>244</v>
      </c>
      <c r="I265" s="20">
        <v>0</v>
      </c>
      <c r="J265" s="20"/>
      <c r="K265" s="20">
        <v>0</v>
      </c>
      <c r="L265" s="20">
        <v>0</v>
      </c>
      <c r="M265" s="20"/>
      <c r="N265" s="20"/>
      <c r="O265" s="20"/>
      <c r="P265" s="20">
        <v>0</v>
      </c>
      <c r="Q265" s="20"/>
      <c r="R265" s="20"/>
      <c r="S265" s="20"/>
      <c r="T265" s="20">
        <v>0</v>
      </c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</row>
    <row r="266" spans="1:38" ht="21.75" customHeight="1" x14ac:dyDescent="0.25">
      <c r="A266" s="5"/>
      <c r="B266" s="5" t="s">
        <v>59</v>
      </c>
      <c r="C266" s="2" t="s">
        <v>16</v>
      </c>
      <c r="D266" s="11">
        <v>1</v>
      </c>
      <c r="E266" s="11">
        <v>11</v>
      </c>
      <c r="F266" s="11">
        <v>902</v>
      </c>
      <c r="G266" s="11">
        <v>83270</v>
      </c>
      <c r="H266" s="21">
        <v>800</v>
      </c>
      <c r="I266" s="20">
        <f>I267+I269</f>
        <v>0</v>
      </c>
      <c r="J266" s="20"/>
      <c r="K266" s="20">
        <f>K267+K269</f>
        <v>100000</v>
      </c>
      <c r="L266" s="20">
        <f>L267+L269</f>
        <v>80000</v>
      </c>
      <c r="M266" s="20"/>
      <c r="N266" s="20"/>
      <c r="O266" s="20"/>
      <c r="P266" s="20">
        <f>P267+P269</f>
        <v>1200000</v>
      </c>
      <c r="Q266" s="20"/>
      <c r="R266" s="20"/>
      <c r="S266" s="20"/>
      <c r="T266" s="20">
        <f>T267+T269</f>
        <v>1380000</v>
      </c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</row>
    <row r="267" spans="1:38" ht="18" hidden="1" customHeight="1" x14ac:dyDescent="0.25">
      <c r="A267" s="5"/>
      <c r="B267" s="5" t="s">
        <v>60</v>
      </c>
      <c r="C267" s="2" t="s">
        <v>16</v>
      </c>
      <c r="D267" s="11">
        <v>1</v>
      </c>
      <c r="E267" s="11">
        <v>11</v>
      </c>
      <c r="F267" s="11">
        <v>902</v>
      </c>
      <c r="G267" s="11">
        <v>83270</v>
      </c>
      <c r="H267" s="21">
        <v>830</v>
      </c>
      <c r="I267" s="20">
        <f>I268</f>
        <v>0</v>
      </c>
      <c r="J267" s="20"/>
      <c r="K267" s="20">
        <f>K268</f>
        <v>0</v>
      </c>
      <c r="L267" s="20">
        <f>L268</f>
        <v>0</v>
      </c>
      <c r="M267" s="20"/>
      <c r="N267" s="20"/>
      <c r="O267" s="20"/>
      <c r="P267" s="20">
        <f>P268</f>
        <v>0</v>
      </c>
      <c r="Q267" s="20"/>
      <c r="R267" s="20"/>
      <c r="S267" s="20"/>
      <c r="T267" s="20">
        <f>T268</f>
        <v>0</v>
      </c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</row>
    <row r="268" spans="1:38" ht="35.25" hidden="1" customHeight="1" x14ac:dyDescent="0.25">
      <c r="A268" s="5"/>
      <c r="B268" s="5" t="s">
        <v>101</v>
      </c>
      <c r="C268" s="2" t="s">
        <v>16</v>
      </c>
      <c r="D268" s="11">
        <v>1</v>
      </c>
      <c r="E268" s="11">
        <v>11</v>
      </c>
      <c r="F268" s="11">
        <v>902</v>
      </c>
      <c r="G268" s="11">
        <v>83270</v>
      </c>
      <c r="H268" s="21">
        <v>831</v>
      </c>
      <c r="I268" s="20">
        <v>0</v>
      </c>
      <c r="J268" s="20"/>
      <c r="K268" s="20">
        <v>0</v>
      </c>
      <c r="L268" s="20">
        <v>0</v>
      </c>
      <c r="M268" s="20"/>
      <c r="N268" s="20"/>
      <c r="O268" s="20"/>
      <c r="P268" s="20">
        <v>0</v>
      </c>
      <c r="Q268" s="20"/>
      <c r="R268" s="20"/>
      <c r="S268" s="20"/>
      <c r="T268" s="20">
        <v>0</v>
      </c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</row>
    <row r="269" spans="1:38" x14ac:dyDescent="0.25">
      <c r="A269" s="5"/>
      <c r="B269" s="5" t="s">
        <v>104</v>
      </c>
      <c r="C269" s="2" t="s">
        <v>16</v>
      </c>
      <c r="D269" s="11">
        <v>1</v>
      </c>
      <c r="E269" s="11">
        <v>11</v>
      </c>
      <c r="F269" s="11">
        <v>902</v>
      </c>
      <c r="G269" s="11">
        <v>83270</v>
      </c>
      <c r="H269" s="21">
        <v>850</v>
      </c>
      <c r="I269" s="20">
        <f>I270</f>
        <v>0</v>
      </c>
      <c r="J269" s="20"/>
      <c r="K269" s="20">
        <f>K270</f>
        <v>100000</v>
      </c>
      <c r="L269" s="20">
        <f>L270</f>
        <v>80000</v>
      </c>
      <c r="M269" s="20"/>
      <c r="N269" s="20"/>
      <c r="O269" s="20"/>
      <c r="P269" s="20">
        <f>P270</f>
        <v>1200000</v>
      </c>
      <c r="Q269" s="20"/>
      <c r="R269" s="20"/>
      <c r="S269" s="20"/>
      <c r="T269" s="20">
        <f>T270</f>
        <v>1380000</v>
      </c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</row>
    <row r="270" spans="1:38" x14ac:dyDescent="0.25">
      <c r="A270" s="5"/>
      <c r="B270" s="5" t="s">
        <v>105</v>
      </c>
      <c r="C270" s="2" t="s">
        <v>16</v>
      </c>
      <c r="D270" s="11">
        <v>1</v>
      </c>
      <c r="E270" s="11">
        <v>11</v>
      </c>
      <c r="F270" s="11">
        <v>902</v>
      </c>
      <c r="G270" s="11">
        <v>83270</v>
      </c>
      <c r="H270" s="21">
        <v>853</v>
      </c>
      <c r="I270" s="20">
        <v>0</v>
      </c>
      <c r="J270" s="20"/>
      <c r="K270" s="20">
        <v>100000</v>
      </c>
      <c r="L270" s="20">
        <v>80000</v>
      </c>
      <c r="M270" s="20"/>
      <c r="N270" s="20"/>
      <c r="O270" s="20"/>
      <c r="P270" s="20">
        <v>1200000</v>
      </c>
      <c r="Q270" s="20"/>
      <c r="R270" s="20"/>
      <c r="S270" s="20"/>
      <c r="T270" s="20">
        <f>K270+L270+P270</f>
        <v>1380000</v>
      </c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</row>
    <row r="271" spans="1:38" s="44" customFormat="1" ht="39" customHeight="1" x14ac:dyDescent="0.25">
      <c r="A271" s="3" t="s">
        <v>125</v>
      </c>
      <c r="B271" s="49" t="s">
        <v>126</v>
      </c>
      <c r="C271" s="19" t="s">
        <v>16</v>
      </c>
      <c r="D271" s="13">
        <v>1</v>
      </c>
      <c r="E271" s="13">
        <v>11</v>
      </c>
      <c r="F271" s="13">
        <v>902</v>
      </c>
      <c r="G271" s="13">
        <v>83280</v>
      </c>
      <c r="H271" s="14"/>
      <c r="I271" s="15">
        <f t="shared" ref="I271:AD273" si="51">I272</f>
        <v>250042</v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>
        <f t="shared" si="51"/>
        <v>152042</v>
      </c>
      <c r="U271" s="15"/>
      <c r="V271" s="15"/>
      <c r="W271" s="15"/>
      <c r="X271" s="15"/>
      <c r="Y271" s="15">
        <f t="shared" si="51"/>
        <v>250042</v>
      </c>
      <c r="Z271" s="15"/>
      <c r="AA271" s="15"/>
      <c r="AB271" s="15"/>
      <c r="AC271" s="15"/>
      <c r="AD271" s="15">
        <f t="shared" si="51"/>
        <v>250042</v>
      </c>
      <c r="AF271" s="30"/>
      <c r="AG271" s="30"/>
      <c r="AH271" s="30"/>
      <c r="AI271" s="30"/>
      <c r="AJ271" s="30"/>
      <c r="AK271" s="30"/>
      <c r="AL271" s="30"/>
    </row>
    <row r="272" spans="1:38" ht="22.5" x14ac:dyDescent="0.25">
      <c r="A272" s="5" t="s">
        <v>26</v>
      </c>
      <c r="B272" s="5" t="s">
        <v>26</v>
      </c>
      <c r="C272" s="2" t="s">
        <v>16</v>
      </c>
      <c r="D272" s="11">
        <v>1</v>
      </c>
      <c r="E272" s="11">
        <v>11</v>
      </c>
      <c r="F272" s="11">
        <v>902</v>
      </c>
      <c r="G272" s="11">
        <v>83280</v>
      </c>
      <c r="H272" s="21">
        <v>200</v>
      </c>
      <c r="I272" s="20">
        <f t="shared" si="51"/>
        <v>250042</v>
      </c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>
        <f t="shared" si="51"/>
        <v>152042</v>
      </c>
      <c r="U272" s="20"/>
      <c r="V272" s="20"/>
      <c r="W272" s="20"/>
      <c r="X272" s="20"/>
      <c r="Y272" s="20">
        <f t="shared" si="51"/>
        <v>250042</v>
      </c>
      <c r="Z272" s="20"/>
      <c r="AA272" s="20"/>
      <c r="AB272" s="20"/>
      <c r="AC272" s="20"/>
      <c r="AD272" s="20">
        <f t="shared" si="51"/>
        <v>250042</v>
      </c>
    </row>
    <row r="273" spans="1:39" ht="33.75" x14ac:dyDescent="0.25">
      <c r="A273" s="5" t="s">
        <v>28</v>
      </c>
      <c r="B273" s="5" t="s">
        <v>28</v>
      </c>
      <c r="C273" s="2" t="s">
        <v>16</v>
      </c>
      <c r="D273" s="11">
        <v>1</v>
      </c>
      <c r="E273" s="11">
        <v>11</v>
      </c>
      <c r="F273" s="11">
        <v>902</v>
      </c>
      <c r="G273" s="11">
        <v>83280</v>
      </c>
      <c r="H273" s="21">
        <v>240</v>
      </c>
      <c r="I273" s="20">
        <f t="shared" si="51"/>
        <v>250042</v>
      </c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>
        <f t="shared" si="51"/>
        <v>152042</v>
      </c>
      <c r="U273" s="20"/>
      <c r="V273" s="20"/>
      <c r="W273" s="20"/>
      <c r="X273" s="20"/>
      <c r="Y273" s="20">
        <f t="shared" si="51"/>
        <v>250042</v>
      </c>
      <c r="Z273" s="20"/>
      <c r="AA273" s="20"/>
      <c r="AB273" s="20"/>
      <c r="AC273" s="20"/>
      <c r="AD273" s="20">
        <f t="shared" si="51"/>
        <v>250042</v>
      </c>
    </row>
    <row r="274" spans="1:39" ht="44.25" customHeight="1" x14ac:dyDescent="0.25">
      <c r="A274" s="5" t="s">
        <v>30</v>
      </c>
      <c r="B274" s="5" t="s">
        <v>30</v>
      </c>
      <c r="C274" s="2" t="s">
        <v>16</v>
      </c>
      <c r="D274" s="11">
        <v>1</v>
      </c>
      <c r="E274" s="11">
        <v>11</v>
      </c>
      <c r="F274" s="11">
        <v>902</v>
      </c>
      <c r="G274" s="11">
        <v>83280</v>
      </c>
      <c r="H274" s="21">
        <v>244</v>
      </c>
      <c r="I274" s="20">
        <v>250042</v>
      </c>
      <c r="J274" s="20"/>
      <c r="K274" s="20"/>
      <c r="L274" s="20"/>
      <c r="M274" s="20"/>
      <c r="N274" s="20"/>
      <c r="O274" s="20"/>
      <c r="P274" s="20"/>
      <c r="Q274" s="20"/>
      <c r="R274" s="20"/>
      <c r="S274" s="20">
        <v>-98000</v>
      </c>
      <c r="T274" s="20">
        <f>250042+S274</f>
        <v>152042</v>
      </c>
      <c r="U274" s="20"/>
      <c r="V274" s="20"/>
      <c r="W274" s="20"/>
      <c r="X274" s="20"/>
      <c r="Y274" s="20">
        <v>250042</v>
      </c>
      <c r="Z274" s="20"/>
      <c r="AA274" s="20"/>
      <c r="AB274" s="20"/>
      <c r="AC274" s="20"/>
      <c r="AD274" s="20">
        <v>250042</v>
      </c>
      <c r="AI274" s="20">
        <v>52445.599999999999</v>
      </c>
      <c r="AJ274" s="20">
        <v>52445.599999999999</v>
      </c>
      <c r="AK274" s="20">
        <v>52445.599999999999</v>
      </c>
      <c r="AM274" s="46">
        <v>611</v>
      </c>
    </row>
    <row r="275" spans="1:39" ht="44.25" customHeight="1" x14ac:dyDescent="0.25">
      <c r="A275" s="1"/>
      <c r="B275" s="5" t="s">
        <v>352</v>
      </c>
      <c r="C275" s="2" t="s">
        <v>16</v>
      </c>
      <c r="D275" s="11">
        <v>1</v>
      </c>
      <c r="E275" s="11">
        <v>11</v>
      </c>
      <c r="F275" s="11">
        <v>902</v>
      </c>
      <c r="G275" s="11">
        <v>83310</v>
      </c>
      <c r="H275" s="21"/>
      <c r="I275" s="20"/>
      <c r="J275" s="20"/>
      <c r="K275" s="20"/>
      <c r="L275" s="20"/>
      <c r="M275" s="20"/>
      <c r="N275" s="20"/>
      <c r="O275" s="20"/>
      <c r="P275" s="20">
        <f>P276</f>
        <v>1015000</v>
      </c>
      <c r="Q275" s="20"/>
      <c r="R275" s="20">
        <f>R276</f>
        <v>0</v>
      </c>
      <c r="S275" s="20"/>
      <c r="T275" s="20">
        <f>T276</f>
        <v>1015000</v>
      </c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I275" s="27"/>
      <c r="AJ275" s="27"/>
      <c r="AK275" s="27"/>
    </row>
    <row r="276" spans="1:39" ht="44.25" customHeight="1" x14ac:dyDescent="0.25">
      <c r="A276" s="1"/>
      <c r="B276" s="5" t="s">
        <v>26</v>
      </c>
      <c r="C276" s="2" t="s">
        <v>16</v>
      </c>
      <c r="D276" s="11">
        <v>1</v>
      </c>
      <c r="E276" s="11">
        <v>11</v>
      </c>
      <c r="F276" s="11">
        <v>902</v>
      </c>
      <c r="G276" s="11">
        <v>83310</v>
      </c>
      <c r="H276" s="21">
        <v>200</v>
      </c>
      <c r="I276" s="20"/>
      <c r="J276" s="20"/>
      <c r="K276" s="20"/>
      <c r="L276" s="20"/>
      <c r="M276" s="20"/>
      <c r="N276" s="20"/>
      <c r="O276" s="20"/>
      <c r="P276" s="20">
        <f>P277</f>
        <v>1015000</v>
      </c>
      <c r="Q276" s="20"/>
      <c r="R276" s="20">
        <f>R277</f>
        <v>0</v>
      </c>
      <c r="S276" s="20"/>
      <c r="T276" s="20">
        <f>T277</f>
        <v>1015000</v>
      </c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I276" s="27"/>
      <c r="AJ276" s="27"/>
      <c r="AK276" s="27"/>
    </row>
    <row r="277" spans="1:39" ht="22.5" x14ac:dyDescent="0.25">
      <c r="A277" s="1"/>
      <c r="B277" s="5" t="s">
        <v>28</v>
      </c>
      <c r="C277" s="2" t="s">
        <v>16</v>
      </c>
      <c r="D277" s="11">
        <v>1</v>
      </c>
      <c r="E277" s="11">
        <v>11</v>
      </c>
      <c r="F277" s="11">
        <v>902</v>
      </c>
      <c r="G277" s="11">
        <v>83310</v>
      </c>
      <c r="H277" s="21">
        <v>240</v>
      </c>
      <c r="I277" s="20"/>
      <c r="J277" s="20"/>
      <c r="K277" s="20"/>
      <c r="L277" s="20"/>
      <c r="M277" s="20"/>
      <c r="N277" s="20"/>
      <c r="O277" s="20"/>
      <c r="P277" s="20">
        <f>P278+P279</f>
        <v>1015000</v>
      </c>
      <c r="Q277" s="20"/>
      <c r="R277" s="20">
        <f>R278+R279</f>
        <v>0</v>
      </c>
      <c r="S277" s="20"/>
      <c r="T277" s="20">
        <f>T278+T279</f>
        <v>1015000</v>
      </c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I277" s="27"/>
      <c r="AJ277" s="27"/>
      <c r="AK277" s="27"/>
    </row>
    <row r="278" spans="1:39" ht="22.5" x14ac:dyDescent="0.25">
      <c r="A278" s="1"/>
      <c r="B278" s="5" t="s">
        <v>353</v>
      </c>
      <c r="C278" s="2" t="s">
        <v>16</v>
      </c>
      <c r="D278" s="11">
        <v>1</v>
      </c>
      <c r="E278" s="11">
        <v>11</v>
      </c>
      <c r="F278" s="11">
        <v>902</v>
      </c>
      <c r="G278" s="11">
        <v>83310</v>
      </c>
      <c r="H278" s="21">
        <v>241</v>
      </c>
      <c r="I278" s="20"/>
      <c r="J278" s="20"/>
      <c r="K278" s="20"/>
      <c r="L278" s="20"/>
      <c r="M278" s="20"/>
      <c r="N278" s="20"/>
      <c r="O278" s="20"/>
      <c r="P278" s="20">
        <v>600000</v>
      </c>
      <c r="Q278" s="20"/>
      <c r="R278" s="20">
        <v>-600000</v>
      </c>
      <c r="S278" s="20"/>
      <c r="T278" s="20">
        <f>P278+R278</f>
        <v>0</v>
      </c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I278" s="27"/>
      <c r="AJ278" s="27"/>
      <c r="AK278" s="27"/>
    </row>
    <row r="279" spans="1:39" ht="58.5" customHeight="1" x14ac:dyDescent="0.25">
      <c r="A279" s="1"/>
      <c r="B279" s="5" t="s">
        <v>354</v>
      </c>
      <c r="C279" s="2" t="s">
        <v>16</v>
      </c>
      <c r="D279" s="11">
        <v>1</v>
      </c>
      <c r="E279" s="11">
        <v>11</v>
      </c>
      <c r="F279" s="11">
        <v>902</v>
      </c>
      <c r="G279" s="11">
        <v>83310</v>
      </c>
      <c r="H279" s="21">
        <v>245</v>
      </c>
      <c r="I279" s="20"/>
      <c r="J279" s="20"/>
      <c r="K279" s="20"/>
      <c r="L279" s="20"/>
      <c r="M279" s="20"/>
      <c r="N279" s="20"/>
      <c r="O279" s="20"/>
      <c r="P279" s="20">
        <v>415000</v>
      </c>
      <c r="Q279" s="20"/>
      <c r="R279" s="20">
        <v>600000</v>
      </c>
      <c r="S279" s="20"/>
      <c r="T279" s="20">
        <f>P279+R279</f>
        <v>1015000</v>
      </c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I279" s="27"/>
      <c r="AJ279" s="27"/>
      <c r="AK279" s="27"/>
    </row>
    <row r="280" spans="1:39" ht="32.25" customHeight="1" x14ac:dyDescent="0.25">
      <c r="A280" s="1"/>
      <c r="B280" s="3" t="s">
        <v>127</v>
      </c>
      <c r="C280" s="19" t="s">
        <v>16</v>
      </c>
      <c r="D280" s="13">
        <v>1</v>
      </c>
      <c r="E280" s="13">
        <v>11</v>
      </c>
      <c r="F280" s="13">
        <v>902</v>
      </c>
      <c r="G280" s="13">
        <v>83360</v>
      </c>
      <c r="H280" s="14"/>
      <c r="I280" s="15">
        <f>I284+I281</f>
        <v>1206804.44</v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>
        <f>T284+T281</f>
        <v>1206804.44</v>
      </c>
      <c r="U280" s="15"/>
      <c r="V280" s="15"/>
      <c r="W280" s="15"/>
      <c r="X280" s="15"/>
      <c r="Y280" s="15">
        <f>Y284+Y281</f>
        <v>1206804.44</v>
      </c>
      <c r="Z280" s="15"/>
      <c r="AA280" s="15"/>
      <c r="AB280" s="15"/>
      <c r="AC280" s="15"/>
      <c r="AD280" s="15">
        <f>AD284+AD281</f>
        <v>1206804.44</v>
      </c>
      <c r="AI280" s="10">
        <v>604660</v>
      </c>
      <c r="AJ280" s="10">
        <v>604660</v>
      </c>
      <c r="AK280" s="10">
        <v>604660</v>
      </c>
      <c r="AM280" s="46">
        <v>611</v>
      </c>
    </row>
    <row r="281" spans="1:39" ht="33.75" x14ac:dyDescent="0.25">
      <c r="A281" s="1"/>
      <c r="B281" s="39" t="s">
        <v>128</v>
      </c>
      <c r="C281" s="2" t="s">
        <v>16</v>
      </c>
      <c r="D281" s="11">
        <v>1</v>
      </c>
      <c r="E281" s="11">
        <v>11</v>
      </c>
      <c r="F281" s="11">
        <v>902</v>
      </c>
      <c r="G281" s="11">
        <v>83360</v>
      </c>
      <c r="H281" s="21" t="s">
        <v>35</v>
      </c>
      <c r="I281" s="15">
        <f t="shared" ref="I281:AD282" si="52">I282</f>
        <v>657105.6</v>
      </c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15">
        <f t="shared" si="52"/>
        <v>657105.6</v>
      </c>
      <c r="U281" s="15"/>
      <c r="V281" s="15"/>
      <c r="W281" s="15"/>
      <c r="X281" s="15"/>
      <c r="Y281" s="15">
        <f t="shared" si="52"/>
        <v>657105.6</v>
      </c>
      <c r="Z281" s="15"/>
      <c r="AA281" s="15"/>
      <c r="AB281" s="15"/>
      <c r="AC281" s="15"/>
      <c r="AD281" s="15">
        <f t="shared" si="52"/>
        <v>657105.6</v>
      </c>
      <c r="AF281" s="10">
        <f>AF282+AF283</f>
        <v>710170.6</v>
      </c>
      <c r="AG281" s="10">
        <f>AG282+AG283</f>
        <v>710170.6</v>
      </c>
      <c r="AH281" s="10">
        <f>AH282+AH283</f>
        <v>710170.6</v>
      </c>
      <c r="AI281" s="10">
        <f>SUM(AI274:AI280)</f>
        <v>657105.6</v>
      </c>
      <c r="AJ281" s="10">
        <f>SUM(AJ274:AJ280)</f>
        <v>657105.6</v>
      </c>
      <c r="AK281" s="10">
        <f>SUM(AK274:AK280)</f>
        <v>657105.6</v>
      </c>
    </row>
    <row r="282" spans="1:39" x14ac:dyDescent="0.25">
      <c r="A282" s="1"/>
      <c r="B282" s="39" t="s">
        <v>129</v>
      </c>
      <c r="C282" s="2" t="s">
        <v>16</v>
      </c>
      <c r="D282" s="11">
        <v>1</v>
      </c>
      <c r="E282" s="11">
        <v>11</v>
      </c>
      <c r="F282" s="11">
        <v>902</v>
      </c>
      <c r="G282" s="11">
        <v>83360</v>
      </c>
      <c r="H282" s="21">
        <v>610</v>
      </c>
      <c r="I282" s="20">
        <f t="shared" si="52"/>
        <v>657105.6</v>
      </c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>
        <f t="shared" si="52"/>
        <v>657105.6</v>
      </c>
      <c r="U282" s="20"/>
      <c r="V282" s="20"/>
      <c r="W282" s="20"/>
      <c r="X282" s="20"/>
      <c r="Y282" s="20">
        <f t="shared" si="52"/>
        <v>657105.6</v>
      </c>
      <c r="Z282" s="20"/>
      <c r="AA282" s="20"/>
      <c r="AB282" s="20"/>
      <c r="AC282" s="20"/>
      <c r="AD282" s="20">
        <f t="shared" si="52"/>
        <v>657105.6</v>
      </c>
      <c r="AF282" s="10">
        <v>657725</v>
      </c>
      <c r="AG282" s="10">
        <v>657725</v>
      </c>
      <c r="AH282" s="10">
        <v>657725</v>
      </c>
    </row>
    <row r="283" spans="1:39" ht="45" x14ac:dyDescent="0.25">
      <c r="A283" s="1"/>
      <c r="B283" s="5" t="s">
        <v>37</v>
      </c>
      <c r="C283" s="2" t="s">
        <v>16</v>
      </c>
      <c r="D283" s="11">
        <v>1</v>
      </c>
      <c r="E283" s="11">
        <v>11</v>
      </c>
      <c r="F283" s="11">
        <v>902</v>
      </c>
      <c r="G283" s="11">
        <v>83360</v>
      </c>
      <c r="H283" s="21">
        <v>611</v>
      </c>
      <c r="I283" s="20">
        <v>657105.6</v>
      </c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>
        <v>657105.6</v>
      </c>
      <c r="U283" s="20"/>
      <c r="V283" s="20"/>
      <c r="W283" s="20"/>
      <c r="X283" s="20"/>
      <c r="Y283" s="20">
        <v>657105.6</v>
      </c>
      <c r="Z283" s="20"/>
      <c r="AA283" s="20"/>
      <c r="AB283" s="20"/>
      <c r="AC283" s="20"/>
      <c r="AD283" s="20">
        <v>657105.6</v>
      </c>
      <c r="AF283" s="10">
        <v>52445.599999999999</v>
      </c>
      <c r="AG283" s="10">
        <v>52445.599999999999</v>
      </c>
      <c r="AH283" s="10">
        <v>52445.599999999999</v>
      </c>
    </row>
    <row r="284" spans="1:39" x14ac:dyDescent="0.25">
      <c r="A284" s="1"/>
      <c r="B284" s="5" t="s">
        <v>59</v>
      </c>
      <c r="C284" s="11" t="s">
        <v>16</v>
      </c>
      <c r="D284" s="11">
        <v>1</v>
      </c>
      <c r="E284" s="11">
        <v>11</v>
      </c>
      <c r="F284" s="11">
        <v>902</v>
      </c>
      <c r="G284" s="11">
        <v>83360</v>
      </c>
      <c r="H284" s="21" t="s">
        <v>130</v>
      </c>
      <c r="I284" s="20">
        <f>I285</f>
        <v>549698.84000000008</v>
      </c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>
        <f>T285</f>
        <v>549698.84000000008</v>
      </c>
      <c r="U284" s="20"/>
      <c r="V284" s="20"/>
      <c r="W284" s="20"/>
      <c r="X284" s="20"/>
      <c r="Y284" s="20">
        <f>Y285</f>
        <v>549698.84000000008</v>
      </c>
      <c r="Z284" s="20"/>
      <c r="AA284" s="20"/>
      <c r="AB284" s="20"/>
      <c r="AC284" s="20"/>
      <c r="AD284" s="20">
        <f>AD285</f>
        <v>549698.84000000008</v>
      </c>
    </row>
    <row r="285" spans="1:39" x14ac:dyDescent="0.25">
      <c r="A285" s="1"/>
      <c r="B285" s="5" t="s">
        <v>62</v>
      </c>
      <c r="C285" s="11" t="s">
        <v>16</v>
      </c>
      <c r="D285" s="11">
        <v>1</v>
      </c>
      <c r="E285" s="11">
        <v>11</v>
      </c>
      <c r="F285" s="11">
        <v>902</v>
      </c>
      <c r="G285" s="11">
        <v>83360</v>
      </c>
      <c r="H285" s="21">
        <v>850</v>
      </c>
      <c r="I285" s="20">
        <f>I286+I287+I288</f>
        <v>549698.84000000008</v>
      </c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>
        <f>T286+T287+T288</f>
        <v>549698.84000000008</v>
      </c>
      <c r="U285" s="20"/>
      <c r="V285" s="20"/>
      <c r="W285" s="20"/>
      <c r="X285" s="20"/>
      <c r="Y285" s="20">
        <f>Y286+Y287+Y288</f>
        <v>549698.84000000008</v>
      </c>
      <c r="Z285" s="20"/>
      <c r="AA285" s="20"/>
      <c r="AB285" s="20"/>
      <c r="AC285" s="20"/>
      <c r="AD285" s="20">
        <f>AD286+AD287+AD288</f>
        <v>549698.84000000008</v>
      </c>
      <c r="AF285" s="10">
        <v>122425</v>
      </c>
      <c r="AG285" s="10">
        <v>122425</v>
      </c>
      <c r="AH285" s="10">
        <v>122425</v>
      </c>
      <c r="AI285" s="10">
        <v>101376.84</v>
      </c>
      <c r="AJ285" s="10">
        <v>101376.84</v>
      </c>
      <c r="AK285" s="10">
        <v>101376.84</v>
      </c>
      <c r="AM285" s="46">
        <v>851</v>
      </c>
    </row>
    <row r="286" spans="1:39" ht="22.5" x14ac:dyDescent="0.25">
      <c r="A286" s="1"/>
      <c r="B286" s="5" t="s">
        <v>131</v>
      </c>
      <c r="C286" s="11" t="s">
        <v>16</v>
      </c>
      <c r="D286" s="11">
        <v>1</v>
      </c>
      <c r="E286" s="11">
        <v>11</v>
      </c>
      <c r="F286" s="11">
        <v>902</v>
      </c>
      <c r="G286" s="11">
        <v>83360</v>
      </c>
      <c r="H286" s="21" t="s">
        <v>132</v>
      </c>
      <c r="I286" s="20">
        <v>434376.84</v>
      </c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>
        <v>434376.84</v>
      </c>
      <c r="U286" s="20"/>
      <c r="V286" s="20"/>
      <c r="W286" s="20"/>
      <c r="X286" s="20"/>
      <c r="Y286" s="20">
        <v>434376.84</v>
      </c>
      <c r="Z286" s="20"/>
      <c r="AA286" s="20"/>
      <c r="AB286" s="20"/>
      <c r="AC286" s="20"/>
      <c r="AD286" s="20">
        <v>434376.84</v>
      </c>
      <c r="AF286" s="10">
        <v>333000</v>
      </c>
      <c r="AG286" s="10">
        <v>333000</v>
      </c>
      <c r="AH286" s="10">
        <v>333000</v>
      </c>
      <c r="AI286" s="10">
        <v>333000</v>
      </c>
      <c r="AJ286" s="10">
        <v>333000</v>
      </c>
      <c r="AK286" s="10">
        <v>333000</v>
      </c>
      <c r="AM286" s="46">
        <v>851</v>
      </c>
    </row>
    <row r="287" spans="1:39" x14ac:dyDescent="0.25">
      <c r="A287" s="1"/>
      <c r="B287" s="5" t="s">
        <v>133</v>
      </c>
      <c r="C287" s="11" t="s">
        <v>16</v>
      </c>
      <c r="D287" s="11">
        <v>1</v>
      </c>
      <c r="E287" s="11">
        <v>11</v>
      </c>
      <c r="F287" s="11">
        <v>902</v>
      </c>
      <c r="G287" s="11">
        <v>83360</v>
      </c>
      <c r="H287" s="21" t="s">
        <v>134</v>
      </c>
      <c r="I287" s="20">
        <v>93140</v>
      </c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>
        <v>93140</v>
      </c>
      <c r="U287" s="20"/>
      <c r="V287" s="20"/>
      <c r="W287" s="20"/>
      <c r="X287" s="20"/>
      <c r="Y287" s="20">
        <v>93140</v>
      </c>
      <c r="Z287" s="20"/>
      <c r="AA287" s="20"/>
      <c r="AB287" s="20"/>
      <c r="AC287" s="20"/>
      <c r="AD287" s="20">
        <v>93140</v>
      </c>
      <c r="AF287" s="10">
        <f t="shared" ref="AF287:AK287" si="53">SUM(AF285:AF286)</f>
        <v>455425</v>
      </c>
      <c r="AG287" s="10">
        <f t="shared" si="53"/>
        <v>455425</v>
      </c>
      <c r="AH287" s="10">
        <f t="shared" si="53"/>
        <v>455425</v>
      </c>
      <c r="AI287" s="10">
        <f t="shared" si="53"/>
        <v>434376.83999999997</v>
      </c>
      <c r="AJ287" s="10">
        <f t="shared" si="53"/>
        <v>434376.83999999997</v>
      </c>
      <c r="AK287" s="10">
        <f t="shared" si="53"/>
        <v>434376.83999999997</v>
      </c>
    </row>
    <row r="288" spans="1:39" x14ac:dyDescent="0.25">
      <c r="A288" s="1"/>
      <c r="B288" s="5" t="s">
        <v>63</v>
      </c>
      <c r="C288" s="11" t="s">
        <v>16</v>
      </c>
      <c r="D288" s="11">
        <v>1</v>
      </c>
      <c r="E288" s="11">
        <v>11</v>
      </c>
      <c r="F288" s="11">
        <v>902</v>
      </c>
      <c r="G288" s="11">
        <v>83360</v>
      </c>
      <c r="H288" s="21">
        <v>853</v>
      </c>
      <c r="I288" s="20">
        <v>22182</v>
      </c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>
        <v>22182</v>
      </c>
      <c r="U288" s="20"/>
      <c r="V288" s="20"/>
      <c r="W288" s="20"/>
      <c r="X288" s="20"/>
      <c r="Y288" s="20">
        <v>22182</v>
      </c>
      <c r="Z288" s="20"/>
      <c r="AA288" s="20"/>
      <c r="AB288" s="20"/>
      <c r="AC288" s="20"/>
      <c r="AD288" s="20">
        <v>22182</v>
      </c>
      <c r="AI288" s="10">
        <v>93140</v>
      </c>
      <c r="AJ288" s="10">
        <v>93140</v>
      </c>
      <c r="AK288" s="10">
        <v>93140</v>
      </c>
    </row>
    <row r="289" spans="1:38" s="44" customFormat="1" ht="52.5" x14ac:dyDescent="0.25">
      <c r="A289" s="56"/>
      <c r="B289" s="3" t="s">
        <v>135</v>
      </c>
      <c r="C289" s="13" t="s">
        <v>16</v>
      </c>
      <c r="D289" s="13">
        <v>1</v>
      </c>
      <c r="E289" s="13" t="s">
        <v>136</v>
      </c>
      <c r="F289" s="13">
        <v>902</v>
      </c>
      <c r="G289" s="13">
        <v>55190</v>
      </c>
      <c r="H289" s="14"/>
      <c r="I289" s="15">
        <f>I290</f>
        <v>0</v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>
        <f>T290</f>
        <v>0</v>
      </c>
      <c r="U289" s="15"/>
      <c r="V289" s="15"/>
      <c r="W289" s="15"/>
      <c r="X289" s="15"/>
      <c r="Y289" s="15">
        <f>Y290</f>
        <v>4961381</v>
      </c>
      <c r="Z289" s="15"/>
      <c r="AA289" s="15"/>
      <c r="AB289" s="15"/>
      <c r="AC289" s="15"/>
      <c r="AD289" s="15">
        <f>AD290</f>
        <v>0</v>
      </c>
      <c r="AF289" s="30"/>
      <c r="AG289" s="30"/>
      <c r="AH289" s="30"/>
      <c r="AI289" s="30"/>
      <c r="AJ289" s="30"/>
      <c r="AK289" s="30"/>
      <c r="AL289" s="30"/>
    </row>
    <row r="290" spans="1:38" ht="22.5" x14ac:dyDescent="0.25">
      <c r="A290" s="1"/>
      <c r="B290" s="5" t="s">
        <v>34</v>
      </c>
      <c r="C290" s="11" t="s">
        <v>16</v>
      </c>
      <c r="D290" s="11">
        <v>1</v>
      </c>
      <c r="E290" s="11" t="s">
        <v>136</v>
      </c>
      <c r="F290" s="11">
        <v>902</v>
      </c>
      <c r="G290" s="11">
        <v>55190</v>
      </c>
      <c r="H290" s="21">
        <v>600</v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>
        <f>Y291</f>
        <v>4961381</v>
      </c>
      <c r="Z290" s="20"/>
      <c r="AA290" s="20"/>
      <c r="AB290" s="20"/>
      <c r="AC290" s="20"/>
      <c r="AD290" s="20"/>
    </row>
    <row r="291" spans="1:38" x14ac:dyDescent="0.25">
      <c r="A291" s="1"/>
      <c r="B291" s="5" t="s">
        <v>36</v>
      </c>
      <c r="C291" s="11" t="s">
        <v>16</v>
      </c>
      <c r="D291" s="11">
        <v>1</v>
      </c>
      <c r="E291" s="11" t="s">
        <v>136</v>
      </c>
      <c r="F291" s="11">
        <v>902</v>
      </c>
      <c r="G291" s="11">
        <v>55190</v>
      </c>
      <c r="H291" s="21">
        <v>610</v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>
        <f>Y292</f>
        <v>4961381</v>
      </c>
      <c r="Z291" s="20"/>
      <c r="AA291" s="20"/>
      <c r="AB291" s="20"/>
      <c r="AC291" s="20"/>
      <c r="AD291" s="20"/>
    </row>
    <row r="292" spans="1:38" x14ac:dyDescent="0.25">
      <c r="A292" s="1"/>
      <c r="B292" s="5" t="s">
        <v>108</v>
      </c>
      <c r="C292" s="11" t="s">
        <v>16</v>
      </c>
      <c r="D292" s="11">
        <v>1</v>
      </c>
      <c r="E292" s="11" t="s">
        <v>136</v>
      </c>
      <c r="F292" s="11">
        <v>902</v>
      </c>
      <c r="G292" s="11">
        <v>55190</v>
      </c>
      <c r="H292" s="21">
        <v>612</v>
      </c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>
        <v>4961381</v>
      </c>
      <c r="Z292" s="20"/>
      <c r="AA292" s="20"/>
      <c r="AB292" s="20"/>
      <c r="AC292" s="20"/>
      <c r="AD292" s="20"/>
    </row>
    <row r="293" spans="1:38" s="44" customFormat="1" ht="52.5" x14ac:dyDescent="0.15">
      <c r="A293" s="53" t="s">
        <v>137</v>
      </c>
      <c r="B293" s="3" t="s">
        <v>137</v>
      </c>
      <c r="C293" s="19" t="s">
        <v>16</v>
      </c>
      <c r="D293" s="13">
        <v>1</v>
      </c>
      <c r="E293" s="13">
        <v>11</v>
      </c>
      <c r="F293" s="13">
        <v>902</v>
      </c>
      <c r="G293" s="13" t="s">
        <v>138</v>
      </c>
      <c r="H293" s="14"/>
      <c r="I293" s="15">
        <f t="shared" ref="I293:AD295" si="54">I294</f>
        <v>22079112</v>
      </c>
      <c r="J293" s="15"/>
      <c r="K293" s="15"/>
      <c r="L293" s="15"/>
      <c r="M293" s="15"/>
      <c r="N293" s="15"/>
      <c r="O293" s="15"/>
      <c r="P293" s="15">
        <f t="shared" si="54"/>
        <v>3468080</v>
      </c>
      <c r="Q293" s="15"/>
      <c r="R293" s="15"/>
      <c r="S293" s="15"/>
      <c r="T293" s="15">
        <f t="shared" si="54"/>
        <v>25547192</v>
      </c>
      <c r="U293" s="15"/>
      <c r="V293" s="15"/>
      <c r="W293" s="15"/>
      <c r="X293" s="15"/>
      <c r="Y293" s="15">
        <f t="shared" si="54"/>
        <v>22079112</v>
      </c>
      <c r="Z293" s="15"/>
      <c r="AA293" s="15"/>
      <c r="AB293" s="15"/>
      <c r="AC293" s="15"/>
      <c r="AD293" s="15">
        <f t="shared" si="54"/>
        <v>22079112</v>
      </c>
      <c r="AF293" s="30"/>
      <c r="AG293" s="30"/>
      <c r="AH293" s="30"/>
      <c r="AI293" s="30">
        <f>SUM(AI287:AI288)</f>
        <v>527516.84</v>
      </c>
      <c r="AJ293" s="30">
        <f>SUM(AJ287:AJ288)</f>
        <v>527516.84</v>
      </c>
      <c r="AK293" s="30">
        <f>SUM(AK287:AK288)</f>
        <v>527516.84</v>
      </c>
      <c r="AL293" s="30"/>
    </row>
    <row r="294" spans="1:38" ht="22.5" x14ac:dyDescent="0.2">
      <c r="A294" s="57" t="s">
        <v>70</v>
      </c>
      <c r="B294" s="5" t="s">
        <v>70</v>
      </c>
      <c r="C294" s="2" t="s">
        <v>16</v>
      </c>
      <c r="D294" s="11">
        <v>1</v>
      </c>
      <c r="E294" s="11">
        <v>11</v>
      </c>
      <c r="F294" s="11">
        <v>902</v>
      </c>
      <c r="G294" s="11" t="s">
        <v>138</v>
      </c>
      <c r="H294" s="21">
        <v>400</v>
      </c>
      <c r="I294" s="20">
        <f t="shared" si="54"/>
        <v>22079112</v>
      </c>
      <c r="J294" s="20"/>
      <c r="K294" s="20"/>
      <c r="L294" s="20"/>
      <c r="M294" s="20"/>
      <c r="N294" s="20"/>
      <c r="O294" s="20"/>
      <c r="P294" s="20">
        <f t="shared" si="54"/>
        <v>3468080</v>
      </c>
      <c r="Q294" s="20"/>
      <c r="R294" s="20"/>
      <c r="S294" s="20"/>
      <c r="T294" s="20">
        <f t="shared" si="54"/>
        <v>25547192</v>
      </c>
      <c r="U294" s="20"/>
      <c r="V294" s="20"/>
      <c r="W294" s="20"/>
      <c r="X294" s="20"/>
      <c r="Y294" s="20">
        <f t="shared" si="54"/>
        <v>22079112</v>
      </c>
      <c r="Z294" s="20"/>
      <c r="AA294" s="20"/>
      <c r="AB294" s="20"/>
      <c r="AC294" s="20"/>
      <c r="AD294" s="20">
        <f t="shared" si="54"/>
        <v>22079112</v>
      </c>
    </row>
    <row r="295" spans="1:38" x14ac:dyDescent="0.25">
      <c r="A295" s="5" t="s">
        <v>71</v>
      </c>
      <c r="B295" s="5" t="s">
        <v>71</v>
      </c>
      <c r="C295" s="2" t="s">
        <v>16</v>
      </c>
      <c r="D295" s="11">
        <v>1</v>
      </c>
      <c r="E295" s="11">
        <v>11</v>
      </c>
      <c r="F295" s="11">
        <v>902</v>
      </c>
      <c r="G295" s="11" t="s">
        <v>138</v>
      </c>
      <c r="H295" s="21">
        <v>410</v>
      </c>
      <c r="I295" s="20">
        <f t="shared" si="54"/>
        <v>22079112</v>
      </c>
      <c r="J295" s="20"/>
      <c r="K295" s="20"/>
      <c r="L295" s="20"/>
      <c r="M295" s="20"/>
      <c r="N295" s="20"/>
      <c r="O295" s="20"/>
      <c r="P295" s="20">
        <f t="shared" si="54"/>
        <v>3468080</v>
      </c>
      <c r="Q295" s="20"/>
      <c r="R295" s="20"/>
      <c r="S295" s="20"/>
      <c r="T295" s="20">
        <f t="shared" si="54"/>
        <v>25547192</v>
      </c>
      <c r="U295" s="20"/>
      <c r="V295" s="20"/>
      <c r="W295" s="20"/>
      <c r="X295" s="20"/>
      <c r="Y295" s="20">
        <f t="shared" si="54"/>
        <v>22079112</v>
      </c>
      <c r="Z295" s="20"/>
      <c r="AA295" s="20"/>
      <c r="AB295" s="20"/>
      <c r="AC295" s="20"/>
      <c r="AD295" s="20">
        <f t="shared" si="54"/>
        <v>22079112</v>
      </c>
    </row>
    <row r="296" spans="1:38" ht="45" x14ac:dyDescent="0.25">
      <c r="A296" s="5" t="s">
        <v>72</v>
      </c>
      <c r="B296" s="5" t="s">
        <v>72</v>
      </c>
      <c r="C296" s="2" t="s">
        <v>16</v>
      </c>
      <c r="D296" s="11">
        <v>1</v>
      </c>
      <c r="E296" s="11">
        <v>11</v>
      </c>
      <c r="F296" s="11">
        <v>902</v>
      </c>
      <c r="G296" s="11" t="s">
        <v>138</v>
      </c>
      <c r="H296" s="21">
        <v>412</v>
      </c>
      <c r="I296" s="20">
        <v>22079112</v>
      </c>
      <c r="J296" s="20"/>
      <c r="K296" s="20"/>
      <c r="L296" s="20"/>
      <c r="M296" s="20"/>
      <c r="N296" s="20"/>
      <c r="O296" s="20"/>
      <c r="P296" s="20">
        <v>3468080</v>
      </c>
      <c r="Q296" s="20"/>
      <c r="R296" s="20"/>
      <c r="S296" s="20"/>
      <c r="T296" s="20">
        <f>22079112+P296</f>
        <v>25547192</v>
      </c>
      <c r="U296" s="20"/>
      <c r="V296" s="20"/>
      <c r="W296" s="20"/>
      <c r="X296" s="20"/>
      <c r="Y296" s="20">
        <v>22079112</v>
      </c>
      <c r="Z296" s="20"/>
      <c r="AA296" s="20"/>
      <c r="AB296" s="20"/>
      <c r="AC296" s="20"/>
      <c r="AD296" s="20">
        <v>22079112</v>
      </c>
      <c r="AJ296" s="30"/>
    </row>
    <row r="297" spans="1:38" s="44" customFormat="1" ht="52.5" x14ac:dyDescent="0.25">
      <c r="A297" s="3"/>
      <c r="B297" s="3" t="s">
        <v>139</v>
      </c>
      <c r="C297" s="19" t="s">
        <v>16</v>
      </c>
      <c r="D297" s="13">
        <v>1</v>
      </c>
      <c r="E297" s="13">
        <v>11</v>
      </c>
      <c r="F297" s="13">
        <v>902</v>
      </c>
      <c r="G297" s="13" t="s">
        <v>140</v>
      </c>
      <c r="H297" s="14"/>
      <c r="I297" s="15">
        <f t="shared" ref="I297:T299" si="55">I298</f>
        <v>600000</v>
      </c>
      <c r="J297" s="15">
        <f t="shared" si="55"/>
        <v>-600000</v>
      </c>
      <c r="K297" s="15"/>
      <c r="L297" s="15"/>
      <c r="M297" s="15"/>
      <c r="N297" s="15"/>
      <c r="O297" s="15"/>
      <c r="P297" s="15"/>
      <c r="Q297" s="15"/>
      <c r="R297" s="15"/>
      <c r="S297" s="15"/>
      <c r="T297" s="15">
        <f t="shared" si="55"/>
        <v>0</v>
      </c>
      <c r="U297" s="15"/>
      <c r="V297" s="15"/>
      <c r="W297" s="15"/>
      <c r="X297" s="15"/>
      <c r="Y297" s="15">
        <f t="shared" ref="Y297:AD299" si="56">Y298</f>
        <v>0</v>
      </c>
      <c r="Z297" s="15"/>
      <c r="AA297" s="15"/>
      <c r="AB297" s="15"/>
      <c r="AC297" s="15"/>
      <c r="AD297" s="15">
        <f t="shared" si="56"/>
        <v>0</v>
      </c>
      <c r="AF297" s="30"/>
      <c r="AG297" s="30"/>
      <c r="AH297" s="30"/>
      <c r="AI297" s="30"/>
      <c r="AJ297" s="30"/>
      <c r="AK297" s="30"/>
      <c r="AL297" s="30"/>
    </row>
    <row r="298" spans="1:38" ht="22.5" x14ac:dyDescent="0.25">
      <c r="A298" s="5"/>
      <c r="B298" s="5" t="s">
        <v>26</v>
      </c>
      <c r="C298" s="2" t="s">
        <v>16</v>
      </c>
      <c r="D298" s="11">
        <v>1</v>
      </c>
      <c r="E298" s="11">
        <v>11</v>
      </c>
      <c r="F298" s="11">
        <v>902</v>
      </c>
      <c r="G298" s="11" t="s">
        <v>140</v>
      </c>
      <c r="H298" s="21">
        <v>200</v>
      </c>
      <c r="I298" s="20">
        <f t="shared" si="55"/>
        <v>600000</v>
      </c>
      <c r="J298" s="20">
        <f t="shared" si="55"/>
        <v>-600000</v>
      </c>
      <c r="K298" s="20"/>
      <c r="L298" s="20"/>
      <c r="M298" s="20"/>
      <c r="N298" s="20"/>
      <c r="O298" s="20"/>
      <c r="P298" s="20"/>
      <c r="Q298" s="20"/>
      <c r="R298" s="20"/>
      <c r="S298" s="20"/>
      <c r="T298" s="20">
        <f t="shared" si="55"/>
        <v>0</v>
      </c>
      <c r="U298" s="20"/>
      <c r="V298" s="20"/>
      <c r="W298" s="20"/>
      <c r="X298" s="20"/>
      <c r="Y298" s="20">
        <f t="shared" si="56"/>
        <v>0</v>
      </c>
      <c r="Z298" s="20"/>
      <c r="AA298" s="20"/>
      <c r="AB298" s="20"/>
      <c r="AC298" s="20"/>
      <c r="AD298" s="20">
        <f t="shared" si="56"/>
        <v>0</v>
      </c>
    </row>
    <row r="299" spans="1:38" ht="22.5" x14ac:dyDescent="0.25">
      <c r="A299" s="5"/>
      <c r="B299" s="5" t="s">
        <v>28</v>
      </c>
      <c r="C299" s="2" t="s">
        <v>16</v>
      </c>
      <c r="D299" s="11">
        <v>1</v>
      </c>
      <c r="E299" s="11">
        <v>11</v>
      </c>
      <c r="F299" s="11">
        <v>902</v>
      </c>
      <c r="G299" s="11" t="s">
        <v>140</v>
      </c>
      <c r="H299" s="21">
        <v>240</v>
      </c>
      <c r="I299" s="20">
        <f t="shared" si="55"/>
        <v>600000</v>
      </c>
      <c r="J299" s="20">
        <f t="shared" si="55"/>
        <v>-600000</v>
      </c>
      <c r="K299" s="20"/>
      <c r="L299" s="20"/>
      <c r="M299" s="20"/>
      <c r="N299" s="20"/>
      <c r="O299" s="20"/>
      <c r="P299" s="20"/>
      <c r="Q299" s="20"/>
      <c r="R299" s="20"/>
      <c r="S299" s="20"/>
      <c r="T299" s="20">
        <f t="shared" si="55"/>
        <v>0</v>
      </c>
      <c r="U299" s="20"/>
      <c r="V299" s="20"/>
      <c r="W299" s="20"/>
      <c r="X299" s="20"/>
      <c r="Y299" s="20">
        <f t="shared" si="56"/>
        <v>0</v>
      </c>
      <c r="Z299" s="20"/>
      <c r="AA299" s="20"/>
      <c r="AB299" s="20"/>
      <c r="AC299" s="20"/>
      <c r="AD299" s="20">
        <f t="shared" si="56"/>
        <v>0</v>
      </c>
    </row>
    <row r="300" spans="1:38" ht="22.5" x14ac:dyDescent="0.25">
      <c r="A300" s="5"/>
      <c r="B300" s="5" t="s">
        <v>30</v>
      </c>
      <c r="C300" s="2" t="s">
        <v>16</v>
      </c>
      <c r="D300" s="11">
        <v>1</v>
      </c>
      <c r="E300" s="11">
        <v>11</v>
      </c>
      <c r="F300" s="11">
        <v>902</v>
      </c>
      <c r="G300" s="11" t="s">
        <v>140</v>
      </c>
      <c r="H300" s="21">
        <v>244</v>
      </c>
      <c r="I300" s="20">
        <v>600000</v>
      </c>
      <c r="J300" s="20">
        <v>-600000</v>
      </c>
      <c r="K300" s="20"/>
      <c r="L300" s="20"/>
      <c r="M300" s="20"/>
      <c r="N300" s="20"/>
      <c r="O300" s="20"/>
      <c r="P300" s="20"/>
      <c r="Q300" s="20"/>
      <c r="R300" s="20"/>
      <c r="S300" s="20"/>
      <c r="T300" s="20">
        <f>600000+J300</f>
        <v>0</v>
      </c>
      <c r="U300" s="20">
        <v>-795000</v>
      </c>
      <c r="V300" s="20"/>
      <c r="W300" s="20"/>
      <c r="X300" s="20"/>
      <c r="Y300" s="20">
        <f>795000+U300</f>
        <v>0</v>
      </c>
      <c r="Z300" s="20">
        <v>-695000</v>
      </c>
      <c r="AA300" s="20"/>
      <c r="AB300" s="20"/>
      <c r="AC300" s="20"/>
      <c r="AD300" s="20">
        <f>695000+Z300</f>
        <v>0</v>
      </c>
    </row>
    <row r="301" spans="1:38" ht="52.5" x14ac:dyDescent="0.25">
      <c r="A301" s="5"/>
      <c r="B301" s="3" t="s">
        <v>139</v>
      </c>
      <c r="C301" s="19" t="s">
        <v>16</v>
      </c>
      <c r="D301" s="13">
        <v>1</v>
      </c>
      <c r="E301" s="13">
        <v>11</v>
      </c>
      <c r="F301" s="13">
        <v>902</v>
      </c>
      <c r="G301" s="13" t="s">
        <v>315</v>
      </c>
      <c r="H301" s="14"/>
      <c r="I301" s="20"/>
      <c r="J301" s="20">
        <f t="shared" ref="J301:T303" si="57">J302</f>
        <v>600000</v>
      </c>
      <c r="K301" s="20"/>
      <c r="L301" s="20"/>
      <c r="M301" s="20"/>
      <c r="N301" s="20"/>
      <c r="O301" s="20"/>
      <c r="P301" s="20"/>
      <c r="Q301" s="20"/>
      <c r="R301" s="20"/>
      <c r="S301" s="20"/>
      <c r="T301" s="20">
        <f t="shared" si="57"/>
        <v>600000</v>
      </c>
      <c r="U301" s="20"/>
      <c r="V301" s="20"/>
      <c r="W301" s="20"/>
      <c r="X301" s="20"/>
      <c r="Y301" s="20">
        <f>Y302</f>
        <v>795000</v>
      </c>
      <c r="Z301" s="20"/>
      <c r="AA301" s="20"/>
      <c r="AB301" s="20"/>
      <c r="AC301" s="20"/>
      <c r="AD301" s="20">
        <f>AD302</f>
        <v>695000</v>
      </c>
    </row>
    <row r="302" spans="1:38" ht="22.5" x14ac:dyDescent="0.25">
      <c r="A302" s="5"/>
      <c r="B302" s="5" t="s">
        <v>26</v>
      </c>
      <c r="C302" s="2" t="s">
        <v>16</v>
      </c>
      <c r="D302" s="11">
        <v>1</v>
      </c>
      <c r="E302" s="11">
        <v>11</v>
      </c>
      <c r="F302" s="11">
        <v>902</v>
      </c>
      <c r="G302" s="11" t="s">
        <v>315</v>
      </c>
      <c r="H302" s="21">
        <v>200</v>
      </c>
      <c r="I302" s="20"/>
      <c r="J302" s="20">
        <f t="shared" si="57"/>
        <v>600000</v>
      </c>
      <c r="K302" s="20"/>
      <c r="L302" s="20"/>
      <c r="M302" s="20"/>
      <c r="N302" s="20"/>
      <c r="O302" s="20"/>
      <c r="P302" s="20"/>
      <c r="Q302" s="20"/>
      <c r="R302" s="20"/>
      <c r="S302" s="20"/>
      <c r="T302" s="20">
        <f t="shared" si="57"/>
        <v>600000</v>
      </c>
      <c r="U302" s="20"/>
      <c r="V302" s="20"/>
      <c r="W302" s="20"/>
      <c r="X302" s="20"/>
      <c r="Y302" s="20">
        <f>Y303</f>
        <v>795000</v>
      </c>
      <c r="Z302" s="20"/>
      <c r="AA302" s="20"/>
      <c r="AB302" s="20"/>
      <c r="AC302" s="20"/>
      <c r="AD302" s="20">
        <f>AD303</f>
        <v>695000</v>
      </c>
    </row>
    <row r="303" spans="1:38" ht="22.5" x14ac:dyDescent="0.25">
      <c r="A303" s="5"/>
      <c r="B303" s="5" t="s">
        <v>28</v>
      </c>
      <c r="C303" s="2" t="s">
        <v>16</v>
      </c>
      <c r="D303" s="11">
        <v>1</v>
      </c>
      <c r="E303" s="11">
        <v>11</v>
      </c>
      <c r="F303" s="11">
        <v>902</v>
      </c>
      <c r="G303" s="11" t="s">
        <v>315</v>
      </c>
      <c r="H303" s="21">
        <v>240</v>
      </c>
      <c r="I303" s="20"/>
      <c r="J303" s="20">
        <f t="shared" si="57"/>
        <v>600000</v>
      </c>
      <c r="K303" s="20"/>
      <c r="L303" s="20"/>
      <c r="M303" s="20"/>
      <c r="N303" s="20"/>
      <c r="O303" s="20"/>
      <c r="P303" s="20"/>
      <c r="Q303" s="20"/>
      <c r="R303" s="20"/>
      <c r="S303" s="20"/>
      <c r="T303" s="20">
        <f t="shared" si="57"/>
        <v>600000</v>
      </c>
      <c r="U303" s="20"/>
      <c r="V303" s="20"/>
      <c r="W303" s="20"/>
      <c r="X303" s="20"/>
      <c r="Y303" s="20">
        <f>Y304</f>
        <v>795000</v>
      </c>
      <c r="Z303" s="20"/>
      <c r="AA303" s="20"/>
      <c r="AB303" s="20"/>
      <c r="AC303" s="20"/>
      <c r="AD303" s="20">
        <f>AD304</f>
        <v>695000</v>
      </c>
    </row>
    <row r="304" spans="1:38" ht="22.5" x14ac:dyDescent="0.25">
      <c r="A304" s="5"/>
      <c r="B304" s="5" t="s">
        <v>30</v>
      </c>
      <c r="C304" s="2" t="s">
        <v>16</v>
      </c>
      <c r="D304" s="11">
        <v>1</v>
      </c>
      <c r="E304" s="11">
        <v>11</v>
      </c>
      <c r="F304" s="11">
        <v>902</v>
      </c>
      <c r="G304" s="11" t="s">
        <v>315</v>
      </c>
      <c r="H304" s="21">
        <v>244</v>
      </c>
      <c r="I304" s="20"/>
      <c r="J304" s="20">
        <v>600000</v>
      </c>
      <c r="K304" s="20"/>
      <c r="L304" s="20"/>
      <c r="M304" s="20"/>
      <c r="N304" s="20"/>
      <c r="O304" s="20"/>
      <c r="P304" s="20"/>
      <c r="Q304" s="20"/>
      <c r="R304" s="20"/>
      <c r="S304" s="20"/>
      <c r="T304" s="20">
        <f>J304</f>
        <v>600000</v>
      </c>
      <c r="U304" s="20">
        <v>795000</v>
      </c>
      <c r="V304" s="20"/>
      <c r="W304" s="20"/>
      <c r="X304" s="20"/>
      <c r="Y304" s="20">
        <f>U304</f>
        <v>795000</v>
      </c>
      <c r="Z304" s="20">
        <v>695000</v>
      </c>
      <c r="AA304" s="20"/>
      <c r="AB304" s="20"/>
      <c r="AC304" s="20"/>
      <c r="AD304" s="20">
        <f>Z304</f>
        <v>695000</v>
      </c>
    </row>
    <row r="305" spans="1:39" ht="31.5" hidden="1" x14ac:dyDescent="0.25">
      <c r="A305" s="5"/>
      <c r="B305" s="3" t="s">
        <v>141</v>
      </c>
      <c r="C305" s="13" t="s">
        <v>16</v>
      </c>
      <c r="D305" s="13">
        <v>1</v>
      </c>
      <c r="E305" s="13">
        <v>11</v>
      </c>
      <c r="F305" s="13">
        <v>921</v>
      </c>
      <c r="G305" s="13" t="s">
        <v>142</v>
      </c>
      <c r="H305" s="14"/>
      <c r="I305" s="15">
        <f t="shared" ref="I305:AD307" si="58">I306</f>
        <v>0</v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>
        <f t="shared" si="58"/>
        <v>0</v>
      </c>
      <c r="U305" s="15"/>
      <c r="V305" s="15"/>
      <c r="W305" s="15"/>
      <c r="X305" s="15"/>
      <c r="Y305" s="15">
        <f t="shared" si="58"/>
        <v>0</v>
      </c>
      <c r="Z305" s="15"/>
      <c r="AA305" s="15"/>
      <c r="AB305" s="15"/>
      <c r="AC305" s="15"/>
      <c r="AD305" s="15">
        <f t="shared" si="58"/>
        <v>0</v>
      </c>
      <c r="AI305" s="10">
        <f>AI306+AI307+AI308</f>
        <v>42316385.049999997</v>
      </c>
      <c r="AJ305" s="10">
        <f>AJ306+AJ307+AJ308</f>
        <v>10800000</v>
      </c>
      <c r="AK305" s="10">
        <f>AK306+AK307+AK308</f>
        <v>82020000</v>
      </c>
    </row>
    <row r="306" spans="1:39" ht="33.75" hidden="1" x14ac:dyDescent="0.25">
      <c r="A306" s="5"/>
      <c r="B306" s="5" t="s">
        <v>70</v>
      </c>
      <c r="C306" s="11" t="s">
        <v>16</v>
      </c>
      <c r="D306" s="11">
        <v>1</v>
      </c>
      <c r="E306" s="11">
        <v>11</v>
      </c>
      <c r="F306" s="11">
        <v>921</v>
      </c>
      <c r="G306" s="11" t="s">
        <v>142</v>
      </c>
      <c r="H306" s="21">
        <v>400</v>
      </c>
      <c r="I306" s="20">
        <f t="shared" si="58"/>
        <v>0</v>
      </c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>
        <f t="shared" si="58"/>
        <v>0</v>
      </c>
      <c r="U306" s="20"/>
      <c r="V306" s="20"/>
      <c r="W306" s="20"/>
      <c r="X306" s="20"/>
      <c r="Y306" s="20">
        <f t="shared" si="58"/>
        <v>0</v>
      </c>
      <c r="Z306" s="20"/>
      <c r="AA306" s="20"/>
      <c r="AB306" s="20"/>
      <c r="AC306" s="20"/>
      <c r="AD306" s="20">
        <f t="shared" si="58"/>
        <v>0</v>
      </c>
      <c r="AI306" s="10">
        <v>1080000</v>
      </c>
      <c r="AJ306" s="10">
        <v>10800000</v>
      </c>
      <c r="AK306" s="10">
        <v>61020000</v>
      </c>
    </row>
    <row r="307" spans="1:39" hidden="1" x14ac:dyDescent="0.25">
      <c r="A307" s="5"/>
      <c r="B307" s="5" t="s">
        <v>71</v>
      </c>
      <c r="C307" s="11" t="s">
        <v>16</v>
      </c>
      <c r="D307" s="11">
        <v>1</v>
      </c>
      <c r="E307" s="11">
        <v>11</v>
      </c>
      <c r="F307" s="11">
        <v>921</v>
      </c>
      <c r="G307" s="11" t="s">
        <v>142</v>
      </c>
      <c r="H307" s="21">
        <v>410</v>
      </c>
      <c r="I307" s="20">
        <f t="shared" si="58"/>
        <v>0</v>
      </c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>
        <f t="shared" si="58"/>
        <v>0</v>
      </c>
      <c r="U307" s="20"/>
      <c r="V307" s="20"/>
      <c r="W307" s="20"/>
      <c r="X307" s="20"/>
      <c r="Y307" s="20">
        <f t="shared" si="58"/>
        <v>0</v>
      </c>
      <c r="Z307" s="20"/>
      <c r="AA307" s="20"/>
      <c r="AB307" s="20"/>
      <c r="AC307" s="20"/>
      <c r="AD307" s="20">
        <f t="shared" si="58"/>
        <v>0</v>
      </c>
      <c r="AI307" s="10">
        <v>0</v>
      </c>
      <c r="AJ307" s="10">
        <v>0</v>
      </c>
      <c r="AK307" s="10">
        <v>21000000</v>
      </c>
    </row>
    <row r="308" spans="1:39" ht="45" hidden="1" x14ac:dyDescent="0.25">
      <c r="A308" s="5"/>
      <c r="B308" s="5" t="s">
        <v>94</v>
      </c>
      <c r="C308" s="11" t="s">
        <v>16</v>
      </c>
      <c r="D308" s="11">
        <v>1</v>
      </c>
      <c r="E308" s="11">
        <v>11</v>
      </c>
      <c r="F308" s="11">
        <v>921</v>
      </c>
      <c r="G308" s="11" t="s">
        <v>142</v>
      </c>
      <c r="H308" s="21">
        <v>414</v>
      </c>
      <c r="I308" s="20">
        <v>0</v>
      </c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>
        <v>0</v>
      </c>
      <c r="U308" s="20"/>
      <c r="V308" s="20"/>
      <c r="W308" s="20"/>
      <c r="X308" s="20"/>
      <c r="Y308" s="20">
        <v>0</v>
      </c>
      <c r="Z308" s="20"/>
      <c r="AA308" s="20"/>
      <c r="AB308" s="20"/>
      <c r="AC308" s="20"/>
      <c r="AD308" s="20">
        <v>0</v>
      </c>
      <c r="AI308" s="10">
        <v>41236385.049999997</v>
      </c>
      <c r="AJ308" s="10">
        <v>0</v>
      </c>
      <c r="AK308" s="10">
        <v>0</v>
      </c>
      <c r="AM308" s="46">
        <v>414</v>
      </c>
    </row>
    <row r="309" spans="1:39" s="44" customFormat="1" ht="42" x14ac:dyDescent="0.25">
      <c r="A309" s="3"/>
      <c r="B309" s="3" t="s">
        <v>143</v>
      </c>
      <c r="C309" s="13" t="s">
        <v>16</v>
      </c>
      <c r="D309" s="13">
        <v>1</v>
      </c>
      <c r="E309" s="13">
        <v>11</v>
      </c>
      <c r="F309" s="13">
        <v>902</v>
      </c>
      <c r="G309" s="13" t="s">
        <v>144</v>
      </c>
      <c r="H309" s="14"/>
      <c r="I309" s="15">
        <f>I310</f>
        <v>92311.71</v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>
        <f>T310</f>
        <v>0</v>
      </c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F309" s="30"/>
      <c r="AG309" s="30"/>
      <c r="AH309" s="30"/>
      <c r="AI309" s="30"/>
      <c r="AJ309" s="30"/>
      <c r="AK309" s="30"/>
      <c r="AL309" s="30"/>
    </row>
    <row r="310" spans="1:39" ht="22.5" x14ac:dyDescent="0.25">
      <c r="A310" s="5"/>
      <c r="B310" s="5" t="s">
        <v>34</v>
      </c>
      <c r="C310" s="11" t="s">
        <v>16</v>
      </c>
      <c r="D310" s="11">
        <v>1</v>
      </c>
      <c r="E310" s="11">
        <v>11</v>
      </c>
      <c r="F310" s="11">
        <v>902</v>
      </c>
      <c r="G310" s="11" t="s">
        <v>144</v>
      </c>
      <c r="H310" s="21">
        <v>600</v>
      </c>
      <c r="I310" s="20">
        <f>I311</f>
        <v>92311.71</v>
      </c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>
        <f>T311</f>
        <v>0</v>
      </c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</row>
    <row r="311" spans="1:39" x14ac:dyDescent="0.25">
      <c r="A311" s="5"/>
      <c r="B311" s="5" t="s">
        <v>36</v>
      </c>
      <c r="C311" s="11" t="s">
        <v>16</v>
      </c>
      <c r="D311" s="11">
        <v>1</v>
      </c>
      <c r="E311" s="11">
        <v>11</v>
      </c>
      <c r="F311" s="11">
        <v>902</v>
      </c>
      <c r="G311" s="11" t="s">
        <v>144</v>
      </c>
      <c r="H311" s="21">
        <v>610</v>
      </c>
      <c r="I311" s="20">
        <f>I312</f>
        <v>92311.71</v>
      </c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>
        <f>T312</f>
        <v>0</v>
      </c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</row>
    <row r="312" spans="1:39" x14ac:dyDescent="0.25">
      <c r="A312" s="5"/>
      <c r="B312" s="5" t="s">
        <v>108</v>
      </c>
      <c r="C312" s="11" t="s">
        <v>16</v>
      </c>
      <c r="D312" s="11">
        <v>1</v>
      </c>
      <c r="E312" s="11">
        <v>11</v>
      </c>
      <c r="F312" s="11">
        <v>902</v>
      </c>
      <c r="G312" s="11" t="s">
        <v>144</v>
      </c>
      <c r="H312" s="21">
        <v>612</v>
      </c>
      <c r="I312" s="20">
        <v>92311.71</v>
      </c>
      <c r="J312" s="20"/>
      <c r="K312" s="20"/>
      <c r="L312" s="20"/>
      <c r="M312" s="20"/>
      <c r="N312" s="20"/>
      <c r="O312" s="20"/>
      <c r="P312" s="20"/>
      <c r="Q312" s="20"/>
      <c r="R312" s="20"/>
      <c r="S312" s="20">
        <v>-92311.71</v>
      </c>
      <c r="T312" s="20">
        <f>92311.71+S312</f>
        <v>0</v>
      </c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</row>
    <row r="313" spans="1:39" s="44" customFormat="1" ht="21" x14ac:dyDescent="0.25">
      <c r="A313" s="3"/>
      <c r="B313" s="3" t="s">
        <v>145</v>
      </c>
      <c r="C313" s="13" t="s">
        <v>16</v>
      </c>
      <c r="D313" s="13">
        <v>1</v>
      </c>
      <c r="E313" s="13">
        <v>11</v>
      </c>
      <c r="F313" s="13">
        <v>902</v>
      </c>
      <c r="G313" s="13" t="s">
        <v>146</v>
      </c>
      <c r="H313" s="14"/>
      <c r="I313" s="15">
        <f>I314</f>
        <v>0</v>
      </c>
      <c r="J313" s="15"/>
      <c r="K313" s="15"/>
      <c r="L313" s="15"/>
      <c r="M313" s="15"/>
      <c r="N313" s="15">
        <f t="shared" ref="N313:T315" si="59">N314</f>
        <v>2472283.2000000002</v>
      </c>
      <c r="O313" s="15"/>
      <c r="P313" s="15"/>
      <c r="Q313" s="15"/>
      <c r="R313" s="15"/>
      <c r="S313" s="15"/>
      <c r="T313" s="15">
        <f t="shared" si="59"/>
        <v>2472283.2000000002</v>
      </c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F313" s="30"/>
      <c r="AG313" s="30"/>
      <c r="AH313" s="30"/>
      <c r="AI313" s="10"/>
      <c r="AJ313" s="10"/>
      <c r="AK313" s="30"/>
      <c r="AL313" s="30"/>
    </row>
    <row r="314" spans="1:39" ht="22.5" x14ac:dyDescent="0.25">
      <c r="A314" s="5"/>
      <c r="B314" s="5" t="s">
        <v>26</v>
      </c>
      <c r="C314" s="11" t="s">
        <v>16</v>
      </c>
      <c r="D314" s="11">
        <v>1</v>
      </c>
      <c r="E314" s="11">
        <v>11</v>
      </c>
      <c r="F314" s="11">
        <v>902</v>
      </c>
      <c r="G314" s="11" t="s">
        <v>146</v>
      </c>
      <c r="H314" s="21">
        <v>200</v>
      </c>
      <c r="I314" s="20">
        <f>I315</f>
        <v>0</v>
      </c>
      <c r="J314" s="20"/>
      <c r="K314" s="20"/>
      <c r="L314" s="20"/>
      <c r="M314" s="20"/>
      <c r="N314" s="20">
        <f t="shared" si="59"/>
        <v>2472283.2000000002</v>
      </c>
      <c r="O314" s="20"/>
      <c r="P314" s="20"/>
      <c r="Q314" s="20"/>
      <c r="R314" s="20"/>
      <c r="S314" s="20"/>
      <c r="T314" s="20">
        <f t="shared" si="59"/>
        <v>2472283.2000000002</v>
      </c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</row>
    <row r="315" spans="1:39" ht="22.5" x14ac:dyDescent="0.25">
      <c r="A315" s="5"/>
      <c r="B315" s="5" t="s">
        <v>28</v>
      </c>
      <c r="C315" s="11" t="s">
        <v>16</v>
      </c>
      <c r="D315" s="11">
        <v>1</v>
      </c>
      <c r="E315" s="11">
        <v>11</v>
      </c>
      <c r="F315" s="11">
        <v>902</v>
      </c>
      <c r="G315" s="11" t="s">
        <v>146</v>
      </c>
      <c r="H315" s="21">
        <v>240</v>
      </c>
      <c r="I315" s="20">
        <f>I316</f>
        <v>0</v>
      </c>
      <c r="J315" s="20"/>
      <c r="K315" s="20"/>
      <c r="L315" s="20"/>
      <c r="M315" s="20"/>
      <c r="N315" s="20">
        <f t="shared" si="59"/>
        <v>2472283.2000000002</v>
      </c>
      <c r="O315" s="20"/>
      <c r="P315" s="20"/>
      <c r="Q315" s="20"/>
      <c r="R315" s="20"/>
      <c r="S315" s="20"/>
      <c r="T315" s="20">
        <f t="shared" si="59"/>
        <v>2472283.2000000002</v>
      </c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</row>
    <row r="316" spans="1:39" ht="22.5" x14ac:dyDescent="0.25">
      <c r="A316" s="5"/>
      <c r="B316" s="5" t="s">
        <v>30</v>
      </c>
      <c r="C316" s="11" t="s">
        <v>16</v>
      </c>
      <c r="D316" s="11">
        <v>1</v>
      </c>
      <c r="E316" s="11">
        <v>11</v>
      </c>
      <c r="F316" s="11">
        <v>902</v>
      </c>
      <c r="G316" s="11" t="s">
        <v>146</v>
      </c>
      <c r="H316" s="21">
        <v>244</v>
      </c>
      <c r="I316" s="20">
        <v>0</v>
      </c>
      <c r="J316" s="20"/>
      <c r="K316" s="20"/>
      <c r="L316" s="20"/>
      <c r="M316" s="20"/>
      <c r="N316" s="20">
        <v>2472283.2000000002</v>
      </c>
      <c r="O316" s="20"/>
      <c r="P316" s="20"/>
      <c r="Q316" s="20"/>
      <c r="R316" s="20"/>
      <c r="S316" s="20"/>
      <c r="T316" s="20">
        <f>N316</f>
        <v>2472283.2000000002</v>
      </c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</row>
    <row r="317" spans="1:39" s="44" customFormat="1" ht="52.5" x14ac:dyDescent="0.25">
      <c r="A317" s="3"/>
      <c r="B317" s="3" t="s">
        <v>147</v>
      </c>
      <c r="C317" s="13" t="s">
        <v>16</v>
      </c>
      <c r="D317" s="13">
        <v>1</v>
      </c>
      <c r="E317" s="13" t="s">
        <v>148</v>
      </c>
      <c r="F317" s="13">
        <v>902</v>
      </c>
      <c r="G317" s="13">
        <v>55270</v>
      </c>
      <c r="H317" s="14"/>
      <c r="I317" s="15">
        <f>I318</f>
        <v>0</v>
      </c>
      <c r="J317" s="15"/>
      <c r="K317" s="15">
        <f t="shared" ref="K317:T319" si="60">K318</f>
        <v>5766019.9900000002</v>
      </c>
      <c r="L317" s="15"/>
      <c r="M317" s="15"/>
      <c r="N317" s="15"/>
      <c r="O317" s="15"/>
      <c r="P317" s="15"/>
      <c r="Q317" s="15"/>
      <c r="R317" s="15"/>
      <c r="S317" s="15"/>
      <c r="T317" s="15">
        <f t="shared" si="60"/>
        <v>5766019.9900000002</v>
      </c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F317" s="30"/>
      <c r="AG317" s="30"/>
      <c r="AH317" s="30"/>
      <c r="AI317" s="30"/>
      <c r="AJ317" s="30"/>
      <c r="AK317" s="30"/>
      <c r="AL317" s="30"/>
    </row>
    <row r="318" spans="1:39" x14ac:dyDescent="0.25">
      <c r="A318" s="5"/>
      <c r="B318" s="40" t="s">
        <v>121</v>
      </c>
      <c r="C318" s="11" t="s">
        <v>16</v>
      </c>
      <c r="D318" s="11">
        <v>1</v>
      </c>
      <c r="E318" s="11" t="s">
        <v>148</v>
      </c>
      <c r="F318" s="11">
        <v>902</v>
      </c>
      <c r="G318" s="11">
        <v>55270</v>
      </c>
      <c r="H318" s="21">
        <v>800</v>
      </c>
      <c r="I318" s="20">
        <f>I319</f>
        <v>0</v>
      </c>
      <c r="J318" s="20"/>
      <c r="K318" s="20">
        <f t="shared" si="60"/>
        <v>5766019.9900000002</v>
      </c>
      <c r="L318" s="20"/>
      <c r="M318" s="20"/>
      <c r="N318" s="20"/>
      <c r="O318" s="20"/>
      <c r="P318" s="20"/>
      <c r="Q318" s="20"/>
      <c r="R318" s="20"/>
      <c r="S318" s="20"/>
      <c r="T318" s="20">
        <f t="shared" si="60"/>
        <v>5766019.9900000002</v>
      </c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</row>
    <row r="319" spans="1:39" ht="45" x14ac:dyDescent="0.25">
      <c r="A319" s="5"/>
      <c r="B319" s="40" t="s">
        <v>122</v>
      </c>
      <c r="C319" s="11" t="s">
        <v>16</v>
      </c>
      <c r="D319" s="11">
        <v>1</v>
      </c>
      <c r="E319" s="11" t="s">
        <v>148</v>
      </c>
      <c r="F319" s="11">
        <v>902</v>
      </c>
      <c r="G319" s="11">
        <v>55270</v>
      </c>
      <c r="H319" s="21">
        <v>810</v>
      </c>
      <c r="I319" s="20">
        <f>I320</f>
        <v>0</v>
      </c>
      <c r="J319" s="20"/>
      <c r="K319" s="20">
        <f t="shared" si="60"/>
        <v>5766019.9900000002</v>
      </c>
      <c r="L319" s="20"/>
      <c r="M319" s="20"/>
      <c r="N319" s="20"/>
      <c r="O319" s="20"/>
      <c r="P319" s="20"/>
      <c r="Q319" s="20"/>
      <c r="R319" s="20"/>
      <c r="S319" s="20"/>
      <c r="T319" s="20">
        <f t="shared" si="60"/>
        <v>5766019.9900000002</v>
      </c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</row>
    <row r="320" spans="1:39" ht="78.75" x14ac:dyDescent="0.25">
      <c r="A320" s="5"/>
      <c r="B320" s="5" t="s">
        <v>247</v>
      </c>
      <c r="C320" s="11" t="s">
        <v>16</v>
      </c>
      <c r="D320" s="11">
        <v>1</v>
      </c>
      <c r="E320" s="11" t="s">
        <v>148</v>
      </c>
      <c r="F320" s="11">
        <v>902</v>
      </c>
      <c r="G320" s="11">
        <v>55270</v>
      </c>
      <c r="H320" s="21">
        <v>813</v>
      </c>
      <c r="I320" s="20">
        <v>0</v>
      </c>
      <c r="J320" s="20"/>
      <c r="K320" s="20">
        <v>5766019.9900000002</v>
      </c>
      <c r="L320" s="20"/>
      <c r="M320" s="20"/>
      <c r="N320" s="20"/>
      <c r="O320" s="20"/>
      <c r="P320" s="20"/>
      <c r="Q320" s="20"/>
      <c r="R320" s="20"/>
      <c r="S320" s="20"/>
      <c r="T320" s="20">
        <f>K320</f>
        <v>5766019.9900000002</v>
      </c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</row>
    <row r="321" spans="1:38" ht="69.75" customHeight="1" x14ac:dyDescent="0.25">
      <c r="A321" s="58" t="s">
        <v>149</v>
      </c>
      <c r="B321" s="3" t="s">
        <v>150</v>
      </c>
      <c r="C321" s="13" t="s">
        <v>16</v>
      </c>
      <c r="D321" s="13">
        <v>2</v>
      </c>
      <c r="E321" s="24"/>
      <c r="F321" s="25"/>
      <c r="G321" s="24"/>
      <c r="H321" s="24"/>
      <c r="I321" s="15">
        <f t="shared" ref="I321:AD322" si="61">I322</f>
        <v>9556616.4800000004</v>
      </c>
      <c r="J321" s="15">
        <f t="shared" si="61"/>
        <v>1408272.63</v>
      </c>
      <c r="K321" s="15"/>
      <c r="L321" s="15"/>
      <c r="M321" s="15"/>
      <c r="N321" s="15"/>
      <c r="O321" s="15"/>
      <c r="P321" s="15">
        <f t="shared" si="61"/>
        <v>11985.760000000002</v>
      </c>
      <c r="Q321" s="15"/>
      <c r="R321" s="15">
        <f t="shared" si="61"/>
        <v>57488</v>
      </c>
      <c r="S321" s="15"/>
      <c r="T321" s="15">
        <f t="shared" si="61"/>
        <v>11034362.870000001</v>
      </c>
      <c r="U321" s="15"/>
      <c r="V321" s="15"/>
      <c r="W321" s="15"/>
      <c r="X321" s="15"/>
      <c r="Y321" s="15">
        <f t="shared" si="61"/>
        <v>8922784.459999999</v>
      </c>
      <c r="Z321" s="15"/>
      <c r="AA321" s="15"/>
      <c r="AB321" s="15"/>
      <c r="AC321" s="15"/>
      <c r="AD321" s="15">
        <f t="shared" si="61"/>
        <v>9810502.6799999997</v>
      </c>
    </row>
    <row r="322" spans="1:38" ht="55.5" customHeight="1" x14ac:dyDescent="0.25">
      <c r="A322" s="58" t="s">
        <v>151</v>
      </c>
      <c r="B322" s="3" t="s">
        <v>151</v>
      </c>
      <c r="C322" s="13" t="s">
        <v>16</v>
      </c>
      <c r="D322" s="13">
        <v>2</v>
      </c>
      <c r="E322" s="13">
        <v>11</v>
      </c>
      <c r="F322" s="25"/>
      <c r="G322" s="24"/>
      <c r="H322" s="24"/>
      <c r="I322" s="15">
        <f t="shared" si="61"/>
        <v>9556616.4800000004</v>
      </c>
      <c r="J322" s="15">
        <f t="shared" si="61"/>
        <v>1408272.63</v>
      </c>
      <c r="K322" s="15"/>
      <c r="L322" s="15"/>
      <c r="M322" s="15"/>
      <c r="N322" s="15"/>
      <c r="O322" s="15"/>
      <c r="P322" s="15">
        <f t="shared" si="61"/>
        <v>11985.760000000002</v>
      </c>
      <c r="Q322" s="15"/>
      <c r="R322" s="15">
        <f t="shared" si="61"/>
        <v>57488</v>
      </c>
      <c r="S322" s="15"/>
      <c r="T322" s="15">
        <f t="shared" si="61"/>
        <v>11034362.870000001</v>
      </c>
      <c r="U322" s="15"/>
      <c r="V322" s="15"/>
      <c r="W322" s="15"/>
      <c r="X322" s="15"/>
      <c r="Y322" s="15">
        <f t="shared" si="61"/>
        <v>8922784.459999999</v>
      </c>
      <c r="Z322" s="15"/>
      <c r="AA322" s="15"/>
      <c r="AB322" s="15"/>
      <c r="AC322" s="15"/>
      <c r="AD322" s="15">
        <f t="shared" si="61"/>
        <v>9810502.6799999997</v>
      </c>
    </row>
    <row r="323" spans="1:38" s="44" customFormat="1" ht="30.75" customHeight="1" x14ac:dyDescent="0.25">
      <c r="A323" s="3" t="s">
        <v>20</v>
      </c>
      <c r="B323" s="3" t="s">
        <v>20</v>
      </c>
      <c r="C323" s="13" t="s">
        <v>16</v>
      </c>
      <c r="D323" s="13">
        <v>2</v>
      </c>
      <c r="E323" s="13">
        <v>11</v>
      </c>
      <c r="F323" s="13">
        <v>902</v>
      </c>
      <c r="G323" s="13"/>
      <c r="H323" s="14"/>
      <c r="I323" s="15">
        <f>I324+I328</f>
        <v>9556616.4800000004</v>
      </c>
      <c r="J323" s="15">
        <f>J324+J328</f>
        <v>1408272.63</v>
      </c>
      <c r="K323" s="15"/>
      <c r="L323" s="15"/>
      <c r="M323" s="15"/>
      <c r="N323" s="15"/>
      <c r="O323" s="15"/>
      <c r="P323" s="15">
        <f>P324+P328</f>
        <v>11985.760000000002</v>
      </c>
      <c r="Q323" s="15"/>
      <c r="R323" s="15">
        <f>R324+R328</f>
        <v>57488</v>
      </c>
      <c r="S323" s="15"/>
      <c r="T323" s="15">
        <f>T324+T328</f>
        <v>11034362.870000001</v>
      </c>
      <c r="U323" s="15"/>
      <c r="V323" s="15"/>
      <c r="W323" s="15"/>
      <c r="X323" s="15"/>
      <c r="Y323" s="15">
        <f>Y324+Y328</f>
        <v>8922784.459999999</v>
      </c>
      <c r="Z323" s="15"/>
      <c r="AA323" s="15"/>
      <c r="AB323" s="15"/>
      <c r="AC323" s="15"/>
      <c r="AD323" s="15">
        <f>AD324+AD328</f>
        <v>9810502.6799999997</v>
      </c>
      <c r="AF323" s="30"/>
      <c r="AG323" s="30"/>
      <c r="AH323" s="30"/>
      <c r="AI323" s="30"/>
      <c r="AJ323" s="30"/>
      <c r="AK323" s="30"/>
      <c r="AL323" s="30"/>
    </row>
    <row r="324" spans="1:38" s="44" customFormat="1" ht="21" x14ac:dyDescent="0.25">
      <c r="A324" s="3" t="s">
        <v>152</v>
      </c>
      <c r="B324" s="49" t="s">
        <v>153</v>
      </c>
      <c r="C324" s="13" t="s">
        <v>16</v>
      </c>
      <c r="D324" s="13">
        <v>2</v>
      </c>
      <c r="E324" s="13">
        <v>11</v>
      </c>
      <c r="F324" s="13">
        <v>902</v>
      </c>
      <c r="G324" s="13">
        <v>80710</v>
      </c>
      <c r="H324" s="14"/>
      <c r="I324" s="15">
        <f t="shared" ref="I324:AD326" si="62">I325</f>
        <v>9034292.6300000008</v>
      </c>
      <c r="J324" s="15">
        <f t="shared" si="62"/>
        <v>1408272.63</v>
      </c>
      <c r="K324" s="15"/>
      <c r="L324" s="15"/>
      <c r="M324" s="15"/>
      <c r="N324" s="15"/>
      <c r="O324" s="15"/>
      <c r="P324" s="15">
        <f t="shared" si="62"/>
        <v>50967.040000000001</v>
      </c>
      <c r="Q324" s="15"/>
      <c r="R324" s="15">
        <f t="shared" si="62"/>
        <v>57488</v>
      </c>
      <c r="S324" s="15"/>
      <c r="T324" s="15">
        <f t="shared" si="62"/>
        <v>10551020.300000001</v>
      </c>
      <c r="U324" s="15"/>
      <c r="V324" s="15"/>
      <c r="W324" s="15"/>
      <c r="X324" s="15"/>
      <c r="Y324" s="15">
        <f t="shared" si="62"/>
        <v>8400460.6099999994</v>
      </c>
      <c r="Z324" s="15"/>
      <c r="AA324" s="15"/>
      <c r="AB324" s="15"/>
      <c r="AC324" s="15"/>
      <c r="AD324" s="15">
        <f t="shared" si="62"/>
        <v>9288178.8300000001</v>
      </c>
      <c r="AF324" s="30"/>
      <c r="AG324" s="30"/>
      <c r="AH324" s="30"/>
      <c r="AI324" s="30"/>
      <c r="AJ324" s="30"/>
      <c r="AK324" s="30"/>
      <c r="AL324" s="30"/>
    </row>
    <row r="325" spans="1:38" ht="33.75" x14ac:dyDescent="0.25">
      <c r="A325" s="5" t="s">
        <v>154</v>
      </c>
      <c r="B325" s="5" t="s">
        <v>154</v>
      </c>
      <c r="C325" s="11" t="s">
        <v>16</v>
      </c>
      <c r="D325" s="11">
        <v>2</v>
      </c>
      <c r="E325" s="11">
        <v>11</v>
      </c>
      <c r="F325" s="11">
        <v>902</v>
      </c>
      <c r="G325" s="11">
        <v>80710</v>
      </c>
      <c r="H325" s="21">
        <v>600</v>
      </c>
      <c r="I325" s="20">
        <f t="shared" si="62"/>
        <v>9034292.6300000008</v>
      </c>
      <c r="J325" s="20">
        <f t="shared" si="62"/>
        <v>1408272.63</v>
      </c>
      <c r="K325" s="20"/>
      <c r="L325" s="20"/>
      <c r="M325" s="20"/>
      <c r="N325" s="20"/>
      <c r="O325" s="20"/>
      <c r="P325" s="20">
        <f t="shared" si="62"/>
        <v>50967.040000000001</v>
      </c>
      <c r="Q325" s="20"/>
      <c r="R325" s="20">
        <f t="shared" si="62"/>
        <v>57488</v>
      </c>
      <c r="S325" s="20"/>
      <c r="T325" s="20">
        <f t="shared" si="62"/>
        <v>10551020.300000001</v>
      </c>
      <c r="U325" s="20"/>
      <c r="V325" s="20"/>
      <c r="W325" s="20"/>
      <c r="X325" s="20"/>
      <c r="Y325" s="20">
        <f t="shared" si="62"/>
        <v>8400460.6099999994</v>
      </c>
      <c r="Z325" s="20"/>
      <c r="AA325" s="20"/>
      <c r="AB325" s="20"/>
      <c r="AC325" s="20"/>
      <c r="AD325" s="20">
        <f t="shared" si="62"/>
        <v>9288178.8300000001</v>
      </c>
    </row>
    <row r="326" spans="1:38" x14ac:dyDescent="0.25">
      <c r="A326" s="5" t="s">
        <v>36</v>
      </c>
      <c r="B326" s="5" t="s">
        <v>36</v>
      </c>
      <c r="C326" s="11" t="s">
        <v>16</v>
      </c>
      <c r="D326" s="11">
        <v>2</v>
      </c>
      <c r="E326" s="11">
        <v>11</v>
      </c>
      <c r="F326" s="11">
        <v>902</v>
      </c>
      <c r="G326" s="11">
        <v>80710</v>
      </c>
      <c r="H326" s="21">
        <v>610</v>
      </c>
      <c r="I326" s="20">
        <f t="shared" si="62"/>
        <v>9034292.6300000008</v>
      </c>
      <c r="J326" s="20">
        <f t="shared" si="62"/>
        <v>1408272.63</v>
      </c>
      <c r="K326" s="20"/>
      <c r="L326" s="20"/>
      <c r="M326" s="20"/>
      <c r="N326" s="20"/>
      <c r="O326" s="20"/>
      <c r="P326" s="20">
        <f t="shared" si="62"/>
        <v>50967.040000000001</v>
      </c>
      <c r="Q326" s="20"/>
      <c r="R326" s="20">
        <f t="shared" si="62"/>
        <v>57488</v>
      </c>
      <c r="S326" s="20"/>
      <c r="T326" s="20">
        <f t="shared" si="62"/>
        <v>10551020.300000001</v>
      </c>
      <c r="U326" s="20"/>
      <c r="V326" s="20"/>
      <c r="W326" s="20"/>
      <c r="X326" s="20"/>
      <c r="Y326" s="20">
        <f t="shared" si="62"/>
        <v>8400460.6099999994</v>
      </c>
      <c r="Z326" s="20"/>
      <c r="AA326" s="20"/>
      <c r="AB326" s="20"/>
      <c r="AC326" s="20"/>
      <c r="AD326" s="20">
        <f t="shared" si="62"/>
        <v>9288178.8300000001</v>
      </c>
    </row>
    <row r="327" spans="1:38" ht="78.75" customHeight="1" x14ac:dyDescent="0.25">
      <c r="A327" s="5" t="s">
        <v>37</v>
      </c>
      <c r="B327" s="5" t="s">
        <v>37</v>
      </c>
      <c r="C327" s="11" t="s">
        <v>16</v>
      </c>
      <c r="D327" s="11">
        <v>2</v>
      </c>
      <c r="E327" s="11">
        <v>11</v>
      </c>
      <c r="F327" s="11">
        <v>902</v>
      </c>
      <c r="G327" s="11">
        <v>80710</v>
      </c>
      <c r="H327" s="21">
        <v>611</v>
      </c>
      <c r="I327" s="20">
        <v>9034292.6300000008</v>
      </c>
      <c r="J327" s="20">
        <v>1408272.63</v>
      </c>
      <c r="K327" s="20"/>
      <c r="L327" s="20"/>
      <c r="M327" s="20"/>
      <c r="N327" s="20"/>
      <c r="O327" s="20"/>
      <c r="P327" s="20">
        <v>50967.040000000001</v>
      </c>
      <c r="Q327" s="20"/>
      <c r="R327" s="20">
        <v>57488</v>
      </c>
      <c r="S327" s="20"/>
      <c r="T327" s="20">
        <f>9034292.63+J327+P327+R327</f>
        <v>10551020.300000001</v>
      </c>
      <c r="U327" s="20"/>
      <c r="V327" s="20"/>
      <c r="W327" s="20"/>
      <c r="X327" s="20"/>
      <c r="Y327" s="20">
        <v>8400460.6099999994</v>
      </c>
      <c r="Z327" s="20"/>
      <c r="AA327" s="20"/>
      <c r="AB327" s="20"/>
      <c r="AC327" s="20"/>
      <c r="AD327" s="20">
        <v>9288178.8300000001</v>
      </c>
    </row>
    <row r="328" spans="1:38" ht="32.25" customHeight="1" x14ac:dyDescent="0.25">
      <c r="A328" s="5"/>
      <c r="B328" s="3" t="s">
        <v>127</v>
      </c>
      <c r="C328" s="13" t="s">
        <v>16</v>
      </c>
      <c r="D328" s="13">
        <v>2</v>
      </c>
      <c r="E328" s="13">
        <v>11</v>
      </c>
      <c r="F328" s="13">
        <v>902</v>
      </c>
      <c r="G328" s="13">
        <v>83360</v>
      </c>
      <c r="H328" s="14"/>
      <c r="I328" s="15">
        <f t="shared" ref="I328:AD330" si="63">I329</f>
        <v>522323.85</v>
      </c>
      <c r="J328" s="15"/>
      <c r="K328" s="15"/>
      <c r="L328" s="15"/>
      <c r="M328" s="15"/>
      <c r="N328" s="15"/>
      <c r="O328" s="15"/>
      <c r="P328" s="15">
        <f t="shared" si="63"/>
        <v>-38981.279999999999</v>
      </c>
      <c r="Q328" s="15"/>
      <c r="R328" s="15"/>
      <c r="S328" s="15"/>
      <c r="T328" s="15">
        <f t="shared" si="63"/>
        <v>483342.56999999995</v>
      </c>
      <c r="U328" s="15"/>
      <c r="V328" s="15"/>
      <c r="W328" s="15"/>
      <c r="X328" s="15"/>
      <c r="Y328" s="15">
        <f t="shared" si="63"/>
        <v>522323.85</v>
      </c>
      <c r="Z328" s="15"/>
      <c r="AA328" s="15"/>
      <c r="AB328" s="15"/>
      <c r="AC328" s="15"/>
      <c r="AD328" s="15">
        <f t="shared" si="63"/>
        <v>522323.85</v>
      </c>
    </row>
    <row r="329" spans="1:38" ht="22.5" x14ac:dyDescent="0.25">
      <c r="A329" s="5"/>
      <c r="B329" s="5" t="s">
        <v>154</v>
      </c>
      <c r="C329" s="11" t="s">
        <v>16</v>
      </c>
      <c r="D329" s="11">
        <v>2</v>
      </c>
      <c r="E329" s="11">
        <v>11</v>
      </c>
      <c r="F329" s="11">
        <v>902</v>
      </c>
      <c r="G329" s="11">
        <v>83360</v>
      </c>
      <c r="H329" s="21">
        <v>600</v>
      </c>
      <c r="I329" s="20">
        <f t="shared" si="63"/>
        <v>522323.85</v>
      </c>
      <c r="J329" s="20"/>
      <c r="K329" s="20"/>
      <c r="L329" s="20"/>
      <c r="M329" s="20"/>
      <c r="N329" s="20"/>
      <c r="O329" s="20"/>
      <c r="P329" s="20">
        <f t="shared" si="63"/>
        <v>-38981.279999999999</v>
      </c>
      <c r="Q329" s="20"/>
      <c r="R329" s="20"/>
      <c r="S329" s="20"/>
      <c r="T329" s="20">
        <f t="shared" si="63"/>
        <v>483342.56999999995</v>
      </c>
      <c r="U329" s="20"/>
      <c r="V329" s="20"/>
      <c r="W329" s="20"/>
      <c r="X329" s="20"/>
      <c r="Y329" s="20">
        <f t="shared" si="63"/>
        <v>522323.85</v>
      </c>
      <c r="Z329" s="20"/>
      <c r="AA329" s="20"/>
      <c r="AB329" s="20"/>
      <c r="AC329" s="20"/>
      <c r="AD329" s="20">
        <f t="shared" si="63"/>
        <v>522323.85</v>
      </c>
    </row>
    <row r="330" spans="1:38" x14ac:dyDescent="0.25">
      <c r="A330" s="5"/>
      <c r="B330" s="5" t="s">
        <v>36</v>
      </c>
      <c r="C330" s="11" t="s">
        <v>16</v>
      </c>
      <c r="D330" s="11">
        <v>2</v>
      </c>
      <c r="E330" s="11">
        <v>11</v>
      </c>
      <c r="F330" s="11">
        <v>902</v>
      </c>
      <c r="G330" s="11">
        <v>83360</v>
      </c>
      <c r="H330" s="21">
        <v>610</v>
      </c>
      <c r="I330" s="20">
        <f t="shared" si="63"/>
        <v>522323.85</v>
      </c>
      <c r="J330" s="20"/>
      <c r="K330" s="20"/>
      <c r="L330" s="20"/>
      <c r="M330" s="20"/>
      <c r="N330" s="20"/>
      <c r="O330" s="20"/>
      <c r="P330" s="20">
        <f t="shared" si="63"/>
        <v>-38981.279999999999</v>
      </c>
      <c r="Q330" s="20"/>
      <c r="R330" s="20"/>
      <c r="S330" s="20"/>
      <c r="T330" s="20">
        <f t="shared" si="63"/>
        <v>483342.56999999995</v>
      </c>
      <c r="U330" s="20"/>
      <c r="V330" s="20"/>
      <c r="W330" s="20"/>
      <c r="X330" s="20"/>
      <c r="Y330" s="20">
        <f t="shared" si="63"/>
        <v>522323.85</v>
      </c>
      <c r="Z330" s="20"/>
      <c r="AA330" s="20"/>
      <c r="AB330" s="20"/>
      <c r="AC330" s="20"/>
      <c r="AD330" s="20">
        <f t="shared" si="63"/>
        <v>522323.85</v>
      </c>
    </row>
    <row r="331" spans="1:38" ht="45" x14ac:dyDescent="0.25">
      <c r="A331" s="5"/>
      <c r="B331" s="5" t="s">
        <v>37</v>
      </c>
      <c r="C331" s="11" t="s">
        <v>16</v>
      </c>
      <c r="D331" s="11">
        <v>2</v>
      </c>
      <c r="E331" s="11">
        <v>11</v>
      </c>
      <c r="F331" s="11">
        <v>902</v>
      </c>
      <c r="G331" s="11">
        <v>83360</v>
      </c>
      <c r="H331" s="21">
        <v>611</v>
      </c>
      <c r="I331" s="20">
        <v>522323.85</v>
      </c>
      <c r="J331" s="20"/>
      <c r="K331" s="20"/>
      <c r="L331" s="20"/>
      <c r="M331" s="20"/>
      <c r="N331" s="20"/>
      <c r="O331" s="20"/>
      <c r="P331" s="20">
        <v>-38981.279999999999</v>
      </c>
      <c r="Q331" s="20"/>
      <c r="R331" s="20"/>
      <c r="S331" s="20"/>
      <c r="T331" s="20">
        <f>522323.85+P331</f>
        <v>483342.56999999995</v>
      </c>
      <c r="U331" s="20"/>
      <c r="V331" s="20"/>
      <c r="W331" s="20"/>
      <c r="X331" s="20"/>
      <c r="Y331" s="20">
        <v>522323.85</v>
      </c>
      <c r="Z331" s="20"/>
      <c r="AA331" s="20"/>
      <c r="AB331" s="20"/>
      <c r="AC331" s="20"/>
      <c r="AD331" s="20">
        <v>522323.85</v>
      </c>
    </row>
    <row r="332" spans="1:38" ht="73.5" customHeight="1" x14ac:dyDescent="0.15">
      <c r="A332" s="53" t="s">
        <v>155</v>
      </c>
      <c r="B332" s="3" t="s">
        <v>156</v>
      </c>
      <c r="C332" s="13" t="s">
        <v>16</v>
      </c>
      <c r="D332" s="13">
        <v>3</v>
      </c>
      <c r="E332" s="13"/>
      <c r="F332" s="13"/>
      <c r="G332" s="13"/>
      <c r="H332" s="14"/>
      <c r="I332" s="15">
        <f>I333+I340</f>
        <v>16370016.820000002</v>
      </c>
      <c r="J332" s="15"/>
      <c r="K332" s="15">
        <f>K333+K340</f>
        <v>206830.8</v>
      </c>
      <c r="L332" s="15">
        <f>L333+L340</f>
        <v>123000</v>
      </c>
      <c r="M332" s="15"/>
      <c r="N332" s="15">
        <f>N333+N340</f>
        <v>48550</v>
      </c>
      <c r="O332" s="15"/>
      <c r="P332" s="15">
        <f>P333+P340</f>
        <v>0</v>
      </c>
      <c r="Q332" s="15"/>
      <c r="R332" s="15"/>
      <c r="S332" s="15"/>
      <c r="T332" s="15">
        <f>T333+T340</f>
        <v>16748397.619999999</v>
      </c>
      <c r="U332" s="15"/>
      <c r="V332" s="15"/>
      <c r="W332" s="15"/>
      <c r="X332" s="15"/>
      <c r="Y332" s="15">
        <f>Y333+Y340</f>
        <v>16446105.82</v>
      </c>
      <c r="Z332" s="15"/>
      <c r="AA332" s="15"/>
      <c r="AB332" s="15"/>
      <c r="AC332" s="15"/>
      <c r="AD332" s="15">
        <f>AD333+AD340</f>
        <v>17023957.010000002</v>
      </c>
    </row>
    <row r="333" spans="1:38" ht="81" customHeight="1" x14ac:dyDescent="0.25">
      <c r="A333" s="3" t="s">
        <v>157</v>
      </c>
      <c r="B333" s="3" t="s">
        <v>157</v>
      </c>
      <c r="C333" s="13" t="s">
        <v>16</v>
      </c>
      <c r="D333" s="13">
        <v>3</v>
      </c>
      <c r="E333" s="13">
        <v>12</v>
      </c>
      <c r="F333" s="11"/>
      <c r="G333" s="11"/>
      <c r="H333" s="21"/>
      <c r="I333" s="15">
        <f t="shared" ref="I333:AD337" si="64">I334</f>
        <v>91540</v>
      </c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15">
        <f t="shared" si="64"/>
        <v>91540</v>
      </c>
      <c r="U333" s="15"/>
      <c r="V333" s="15"/>
      <c r="W333" s="15"/>
      <c r="X333" s="15"/>
      <c r="Y333" s="15">
        <f t="shared" si="64"/>
        <v>54300</v>
      </c>
      <c r="Z333" s="15"/>
      <c r="AA333" s="15"/>
      <c r="AB333" s="15"/>
      <c r="AC333" s="15"/>
      <c r="AD333" s="15">
        <f t="shared" si="64"/>
        <v>54300</v>
      </c>
    </row>
    <row r="334" spans="1:38" ht="27.75" customHeight="1" x14ac:dyDescent="0.25">
      <c r="A334" s="58" t="s">
        <v>20</v>
      </c>
      <c r="B334" s="3" t="s">
        <v>20</v>
      </c>
      <c r="C334" s="13" t="s">
        <v>16</v>
      </c>
      <c r="D334" s="13">
        <v>3</v>
      </c>
      <c r="E334" s="13">
        <v>12</v>
      </c>
      <c r="F334" s="13">
        <v>902</v>
      </c>
      <c r="G334" s="11"/>
      <c r="H334" s="21"/>
      <c r="I334" s="15">
        <f t="shared" si="64"/>
        <v>91540</v>
      </c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15">
        <f t="shared" si="64"/>
        <v>91540</v>
      </c>
      <c r="U334" s="15"/>
      <c r="V334" s="15"/>
      <c r="W334" s="15"/>
      <c r="X334" s="15"/>
      <c r="Y334" s="15">
        <f t="shared" si="64"/>
        <v>54300</v>
      </c>
      <c r="Z334" s="15"/>
      <c r="AA334" s="15"/>
      <c r="AB334" s="15"/>
      <c r="AC334" s="15"/>
      <c r="AD334" s="15">
        <f t="shared" si="64"/>
        <v>54300</v>
      </c>
    </row>
    <row r="335" spans="1:38" s="44" customFormat="1" ht="21" x14ac:dyDescent="0.25">
      <c r="A335" s="58" t="s">
        <v>158</v>
      </c>
      <c r="B335" s="49" t="s">
        <v>159</v>
      </c>
      <c r="C335" s="13" t="s">
        <v>16</v>
      </c>
      <c r="D335" s="13">
        <v>3</v>
      </c>
      <c r="E335" s="13">
        <v>12</v>
      </c>
      <c r="F335" s="13">
        <v>902</v>
      </c>
      <c r="G335" s="13">
        <v>81140</v>
      </c>
      <c r="H335" s="14"/>
      <c r="I335" s="15">
        <f t="shared" si="64"/>
        <v>91540</v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f t="shared" si="64"/>
        <v>91540</v>
      </c>
      <c r="U335" s="15"/>
      <c r="V335" s="15"/>
      <c r="W335" s="15"/>
      <c r="X335" s="15"/>
      <c r="Y335" s="15">
        <f t="shared" si="64"/>
        <v>54300</v>
      </c>
      <c r="Z335" s="15"/>
      <c r="AA335" s="15"/>
      <c r="AB335" s="15"/>
      <c r="AC335" s="15"/>
      <c r="AD335" s="15">
        <f t="shared" si="64"/>
        <v>54300</v>
      </c>
      <c r="AF335" s="30"/>
      <c r="AG335" s="30"/>
      <c r="AH335" s="30"/>
      <c r="AI335" s="30"/>
      <c r="AJ335" s="30"/>
      <c r="AK335" s="30"/>
      <c r="AL335" s="30"/>
    </row>
    <row r="336" spans="1:38" ht="22.5" x14ac:dyDescent="0.25">
      <c r="A336" s="5" t="s">
        <v>26</v>
      </c>
      <c r="B336" s="5" t="s">
        <v>26</v>
      </c>
      <c r="C336" s="11" t="s">
        <v>16</v>
      </c>
      <c r="D336" s="11">
        <v>3</v>
      </c>
      <c r="E336" s="11">
        <v>12</v>
      </c>
      <c r="F336" s="11">
        <v>902</v>
      </c>
      <c r="G336" s="11">
        <v>81140</v>
      </c>
      <c r="H336" s="21" t="s">
        <v>27</v>
      </c>
      <c r="I336" s="20">
        <f t="shared" si="64"/>
        <v>91540</v>
      </c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>
        <f t="shared" si="64"/>
        <v>91540</v>
      </c>
      <c r="U336" s="20"/>
      <c r="V336" s="20"/>
      <c r="W336" s="20"/>
      <c r="X336" s="20"/>
      <c r="Y336" s="20">
        <f t="shared" si="64"/>
        <v>54300</v>
      </c>
      <c r="Z336" s="20"/>
      <c r="AA336" s="20"/>
      <c r="AB336" s="20"/>
      <c r="AC336" s="20"/>
      <c r="AD336" s="20">
        <f t="shared" si="64"/>
        <v>54300</v>
      </c>
    </row>
    <row r="337" spans="1:38" ht="33.75" x14ac:dyDescent="0.25">
      <c r="A337" s="5" t="s">
        <v>28</v>
      </c>
      <c r="B337" s="5" t="s">
        <v>28</v>
      </c>
      <c r="C337" s="11" t="s">
        <v>16</v>
      </c>
      <c r="D337" s="11">
        <v>3</v>
      </c>
      <c r="E337" s="11">
        <v>12</v>
      </c>
      <c r="F337" s="11">
        <v>902</v>
      </c>
      <c r="G337" s="11">
        <v>81140</v>
      </c>
      <c r="H337" s="21">
        <v>240</v>
      </c>
      <c r="I337" s="20">
        <f t="shared" si="64"/>
        <v>91540</v>
      </c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>
        <f t="shared" si="64"/>
        <v>91540</v>
      </c>
      <c r="U337" s="20"/>
      <c r="V337" s="20"/>
      <c r="W337" s="20"/>
      <c r="X337" s="20"/>
      <c r="Y337" s="20">
        <f t="shared" si="64"/>
        <v>54300</v>
      </c>
      <c r="Z337" s="20"/>
      <c r="AA337" s="20"/>
      <c r="AB337" s="20"/>
      <c r="AC337" s="20"/>
      <c r="AD337" s="20">
        <f t="shared" si="64"/>
        <v>54300</v>
      </c>
    </row>
    <row r="338" spans="1:38" ht="33.75" x14ac:dyDescent="0.25">
      <c r="A338" s="5" t="s">
        <v>30</v>
      </c>
      <c r="B338" s="5" t="s">
        <v>30</v>
      </c>
      <c r="C338" s="11" t="s">
        <v>16</v>
      </c>
      <c r="D338" s="11">
        <v>3</v>
      </c>
      <c r="E338" s="11">
        <v>12</v>
      </c>
      <c r="F338" s="11">
        <v>902</v>
      </c>
      <c r="G338" s="11">
        <v>81140</v>
      </c>
      <c r="H338" s="21">
        <v>244</v>
      </c>
      <c r="I338" s="20">
        <v>91540</v>
      </c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>
        <v>91540</v>
      </c>
      <c r="U338" s="20"/>
      <c r="V338" s="20"/>
      <c r="W338" s="20"/>
      <c r="X338" s="20"/>
      <c r="Y338" s="20">
        <v>54300</v>
      </c>
      <c r="Z338" s="20"/>
      <c r="AA338" s="20"/>
      <c r="AB338" s="20"/>
      <c r="AC338" s="20"/>
      <c r="AD338" s="20">
        <v>54300</v>
      </c>
    </row>
    <row r="339" spans="1:38" ht="78" customHeight="1" x14ac:dyDescent="0.25">
      <c r="A339" s="3" t="s">
        <v>160</v>
      </c>
      <c r="B339" s="3" t="s">
        <v>160</v>
      </c>
      <c r="C339" s="13" t="s">
        <v>16</v>
      </c>
      <c r="D339" s="13">
        <v>3</v>
      </c>
      <c r="E339" s="13">
        <v>13</v>
      </c>
      <c r="F339" s="11"/>
      <c r="G339" s="11"/>
      <c r="H339" s="21"/>
      <c r="I339" s="15">
        <f>I340</f>
        <v>16278476.820000002</v>
      </c>
      <c r="J339" s="20"/>
      <c r="K339" s="15">
        <f>K340</f>
        <v>206830.8</v>
      </c>
      <c r="L339" s="15">
        <f>L340</f>
        <v>123000</v>
      </c>
      <c r="M339" s="15"/>
      <c r="N339" s="15">
        <f>N340</f>
        <v>48550</v>
      </c>
      <c r="O339" s="15"/>
      <c r="P339" s="15">
        <f>P340</f>
        <v>0</v>
      </c>
      <c r="Q339" s="15"/>
      <c r="R339" s="15"/>
      <c r="S339" s="15"/>
      <c r="T339" s="15">
        <f>T340</f>
        <v>16656857.619999999</v>
      </c>
      <c r="U339" s="15"/>
      <c r="V339" s="15"/>
      <c r="W339" s="15"/>
      <c r="X339" s="15"/>
      <c r="Y339" s="15">
        <f>Y340</f>
        <v>16391805.82</v>
      </c>
      <c r="Z339" s="15"/>
      <c r="AA339" s="15"/>
      <c r="AB339" s="15"/>
      <c r="AC339" s="15"/>
      <c r="AD339" s="15">
        <f>AD340</f>
        <v>16969657.010000002</v>
      </c>
    </row>
    <row r="340" spans="1:38" x14ac:dyDescent="0.25">
      <c r="A340" s="58" t="s">
        <v>20</v>
      </c>
      <c r="B340" s="3" t="s">
        <v>20</v>
      </c>
      <c r="C340" s="13" t="s">
        <v>16</v>
      </c>
      <c r="D340" s="13">
        <v>3</v>
      </c>
      <c r="E340" s="13">
        <v>13</v>
      </c>
      <c r="F340" s="13">
        <v>902</v>
      </c>
      <c r="G340" s="11"/>
      <c r="H340" s="21"/>
      <c r="I340" s="15">
        <f>I349+I369+I341+I365</f>
        <v>16278476.820000002</v>
      </c>
      <c r="J340" s="20"/>
      <c r="K340" s="15">
        <f>K349+K369+K341+K365</f>
        <v>206830.8</v>
      </c>
      <c r="L340" s="15">
        <f>L349+L369+L341+L365</f>
        <v>123000</v>
      </c>
      <c r="M340" s="15"/>
      <c r="N340" s="15">
        <f>N349+N369+N341+N365</f>
        <v>48550</v>
      </c>
      <c r="O340" s="15"/>
      <c r="P340" s="15">
        <f>P349+P369+P341+P365</f>
        <v>0</v>
      </c>
      <c r="Q340" s="15"/>
      <c r="R340" s="15"/>
      <c r="S340" s="15"/>
      <c r="T340" s="15">
        <f>T349+T369+T341+T365</f>
        <v>16656857.619999999</v>
      </c>
      <c r="U340" s="15"/>
      <c r="V340" s="15"/>
      <c r="W340" s="15"/>
      <c r="X340" s="15"/>
      <c r="Y340" s="15">
        <f>Y349+Y369+Y341+Y365</f>
        <v>16391805.82</v>
      </c>
      <c r="Z340" s="15"/>
      <c r="AA340" s="15"/>
      <c r="AB340" s="15"/>
      <c r="AC340" s="15"/>
      <c r="AD340" s="15">
        <f>AD349+AD369+AD341+AD365</f>
        <v>16969657.010000002</v>
      </c>
    </row>
    <row r="341" spans="1:38" s="44" customFormat="1" ht="39" customHeight="1" x14ac:dyDescent="0.25">
      <c r="A341" s="58"/>
      <c r="B341" s="3" t="s">
        <v>161</v>
      </c>
      <c r="C341" s="13" t="s">
        <v>16</v>
      </c>
      <c r="D341" s="13">
        <v>3</v>
      </c>
      <c r="E341" s="13">
        <v>13</v>
      </c>
      <c r="F341" s="13">
        <v>902</v>
      </c>
      <c r="G341" s="13">
        <v>80700</v>
      </c>
      <c r="H341" s="14"/>
      <c r="I341" s="15">
        <f>I342+I346</f>
        <v>4896628.96</v>
      </c>
      <c r="J341" s="15"/>
      <c r="K341" s="15"/>
      <c r="L341" s="15">
        <f>L342+L346</f>
        <v>0</v>
      </c>
      <c r="M341" s="15"/>
      <c r="N341" s="15">
        <f>N342+N346</f>
        <v>15210</v>
      </c>
      <c r="O341" s="15"/>
      <c r="P341" s="15">
        <f>P342+P346</f>
        <v>-31678.02</v>
      </c>
      <c r="Q341" s="15"/>
      <c r="R341" s="15"/>
      <c r="S341" s="15"/>
      <c r="T341" s="15">
        <f>T342+T346</f>
        <v>4880160.9400000004</v>
      </c>
      <c r="U341" s="15"/>
      <c r="V341" s="15"/>
      <c r="W341" s="15"/>
      <c r="X341" s="15"/>
      <c r="Y341" s="15">
        <f>Y342+Y346</f>
        <v>5054151.1899999995</v>
      </c>
      <c r="Z341" s="15"/>
      <c r="AA341" s="15"/>
      <c r="AB341" s="15"/>
      <c r="AC341" s="15"/>
      <c r="AD341" s="15">
        <f>AD342+AD346</f>
        <v>5245047.92</v>
      </c>
      <c r="AF341" s="30"/>
      <c r="AG341" s="30"/>
      <c r="AH341" s="30"/>
      <c r="AI341" s="30"/>
      <c r="AJ341" s="30"/>
      <c r="AK341" s="30"/>
      <c r="AL341" s="30"/>
    </row>
    <row r="342" spans="1:38" ht="78" customHeight="1" x14ac:dyDescent="0.25">
      <c r="A342" s="58"/>
      <c r="B342" s="5" t="s">
        <v>22</v>
      </c>
      <c r="C342" s="11" t="s">
        <v>16</v>
      </c>
      <c r="D342" s="11">
        <v>3</v>
      </c>
      <c r="E342" s="11">
        <v>13</v>
      </c>
      <c r="F342" s="11">
        <v>902</v>
      </c>
      <c r="G342" s="11">
        <v>80700</v>
      </c>
      <c r="H342" s="21">
        <v>100</v>
      </c>
      <c r="I342" s="20">
        <f>I343</f>
        <v>3935669.22</v>
      </c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>
        <f>T343</f>
        <v>3935669.22</v>
      </c>
      <c r="U342" s="20"/>
      <c r="V342" s="20"/>
      <c r="W342" s="20"/>
      <c r="X342" s="20"/>
      <c r="Y342" s="20">
        <f>Y343</f>
        <v>4066747.17</v>
      </c>
      <c r="Z342" s="20"/>
      <c r="AA342" s="20"/>
      <c r="AB342" s="20"/>
      <c r="AC342" s="20"/>
      <c r="AD342" s="20">
        <f>AD343</f>
        <v>4230141.8600000003</v>
      </c>
    </row>
    <row r="343" spans="1:38" x14ac:dyDescent="0.25">
      <c r="A343" s="58"/>
      <c r="B343" s="36" t="s">
        <v>79</v>
      </c>
      <c r="C343" s="11" t="s">
        <v>16</v>
      </c>
      <c r="D343" s="11">
        <v>3</v>
      </c>
      <c r="E343" s="11">
        <v>13</v>
      </c>
      <c r="F343" s="11">
        <v>902</v>
      </c>
      <c r="G343" s="11">
        <v>80700</v>
      </c>
      <c r="H343" s="21">
        <v>110</v>
      </c>
      <c r="I343" s="20">
        <f>I344+I345</f>
        <v>3935669.22</v>
      </c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>
        <f>T344+T345</f>
        <v>3935669.22</v>
      </c>
      <c r="U343" s="20"/>
      <c r="V343" s="20"/>
      <c r="W343" s="20"/>
      <c r="X343" s="20"/>
      <c r="Y343" s="20">
        <f>Y344+Y345</f>
        <v>4066747.17</v>
      </c>
      <c r="Z343" s="20"/>
      <c r="AA343" s="20"/>
      <c r="AB343" s="20"/>
      <c r="AC343" s="20"/>
      <c r="AD343" s="20">
        <f>AD344+AD345</f>
        <v>4230141.8600000003</v>
      </c>
    </row>
    <row r="344" spans="1:38" x14ac:dyDescent="0.25">
      <c r="A344" s="58"/>
      <c r="B344" s="5" t="s">
        <v>81</v>
      </c>
      <c r="C344" s="11" t="s">
        <v>16</v>
      </c>
      <c r="D344" s="11">
        <v>3</v>
      </c>
      <c r="E344" s="11">
        <v>13</v>
      </c>
      <c r="F344" s="11">
        <v>902</v>
      </c>
      <c r="G344" s="11">
        <v>80700</v>
      </c>
      <c r="H344" s="21">
        <v>111</v>
      </c>
      <c r="I344" s="20">
        <v>3036704.47</v>
      </c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>
        <v>3036704.47</v>
      </c>
      <c r="U344" s="20"/>
      <c r="V344" s="20"/>
      <c r="W344" s="20"/>
      <c r="X344" s="20"/>
      <c r="Y344" s="20">
        <v>3137378.78</v>
      </c>
      <c r="Z344" s="20"/>
      <c r="AA344" s="20"/>
      <c r="AB344" s="20"/>
      <c r="AC344" s="20"/>
      <c r="AD344" s="20">
        <v>3262873.93</v>
      </c>
    </row>
    <row r="345" spans="1:38" ht="54.75" customHeight="1" x14ac:dyDescent="0.25">
      <c r="A345" s="58"/>
      <c r="B345" s="5" t="s">
        <v>83</v>
      </c>
      <c r="C345" s="11" t="s">
        <v>16</v>
      </c>
      <c r="D345" s="11">
        <v>3</v>
      </c>
      <c r="E345" s="11">
        <v>13</v>
      </c>
      <c r="F345" s="11">
        <v>902</v>
      </c>
      <c r="G345" s="11">
        <v>80700</v>
      </c>
      <c r="H345" s="21">
        <v>119</v>
      </c>
      <c r="I345" s="20">
        <v>898964.75</v>
      </c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>
        <v>898964.75</v>
      </c>
      <c r="U345" s="20"/>
      <c r="V345" s="20"/>
      <c r="W345" s="20"/>
      <c r="X345" s="20"/>
      <c r="Y345" s="20">
        <v>929368.39</v>
      </c>
      <c r="Z345" s="20"/>
      <c r="AA345" s="20"/>
      <c r="AB345" s="20"/>
      <c r="AC345" s="20"/>
      <c r="AD345" s="20">
        <v>967267.93</v>
      </c>
    </row>
    <row r="346" spans="1:38" ht="39" customHeight="1" x14ac:dyDescent="0.25">
      <c r="A346" s="58"/>
      <c r="B346" s="5" t="s">
        <v>26</v>
      </c>
      <c r="C346" s="11" t="s">
        <v>16</v>
      </c>
      <c r="D346" s="11">
        <v>3</v>
      </c>
      <c r="E346" s="11">
        <v>13</v>
      </c>
      <c r="F346" s="11">
        <v>902</v>
      </c>
      <c r="G346" s="11">
        <v>80700</v>
      </c>
      <c r="H346" s="21">
        <v>200</v>
      </c>
      <c r="I346" s="20">
        <f t="shared" ref="I346:AD347" si="65">I347</f>
        <v>960959.74</v>
      </c>
      <c r="J346" s="20"/>
      <c r="K346" s="20"/>
      <c r="L346" s="20">
        <f t="shared" si="65"/>
        <v>0</v>
      </c>
      <c r="M346" s="20"/>
      <c r="N346" s="20">
        <f t="shared" si="65"/>
        <v>15210</v>
      </c>
      <c r="O346" s="20"/>
      <c r="P346" s="20">
        <f t="shared" si="65"/>
        <v>-31678.02</v>
      </c>
      <c r="Q346" s="20"/>
      <c r="R346" s="20"/>
      <c r="S346" s="20"/>
      <c r="T346" s="20">
        <f t="shared" si="65"/>
        <v>944491.72</v>
      </c>
      <c r="U346" s="20"/>
      <c r="V346" s="20"/>
      <c r="W346" s="20"/>
      <c r="X346" s="20"/>
      <c r="Y346" s="20">
        <f t="shared" si="65"/>
        <v>987404.02</v>
      </c>
      <c r="Z346" s="20"/>
      <c r="AA346" s="20"/>
      <c r="AB346" s="20"/>
      <c r="AC346" s="20"/>
      <c r="AD346" s="20">
        <f t="shared" si="65"/>
        <v>1014906.06</v>
      </c>
    </row>
    <row r="347" spans="1:38" ht="39" customHeight="1" x14ac:dyDescent="0.25">
      <c r="A347" s="58"/>
      <c r="B347" s="5" t="s">
        <v>28</v>
      </c>
      <c r="C347" s="11" t="s">
        <v>16</v>
      </c>
      <c r="D347" s="11">
        <v>3</v>
      </c>
      <c r="E347" s="11">
        <v>13</v>
      </c>
      <c r="F347" s="11">
        <v>902</v>
      </c>
      <c r="G347" s="11">
        <v>80700</v>
      </c>
      <c r="H347" s="21">
        <v>240</v>
      </c>
      <c r="I347" s="20">
        <f t="shared" si="65"/>
        <v>960959.74</v>
      </c>
      <c r="J347" s="20"/>
      <c r="K347" s="20"/>
      <c r="L347" s="20">
        <f t="shared" si="65"/>
        <v>0</v>
      </c>
      <c r="M347" s="20"/>
      <c r="N347" s="20">
        <f t="shared" si="65"/>
        <v>15210</v>
      </c>
      <c r="O347" s="20"/>
      <c r="P347" s="20">
        <f t="shared" si="65"/>
        <v>-31678.02</v>
      </c>
      <c r="Q347" s="20"/>
      <c r="R347" s="20"/>
      <c r="S347" s="20"/>
      <c r="T347" s="20">
        <f t="shared" si="65"/>
        <v>944491.72</v>
      </c>
      <c r="U347" s="20"/>
      <c r="V347" s="20"/>
      <c r="W347" s="20"/>
      <c r="X347" s="20"/>
      <c r="Y347" s="20">
        <f t="shared" si="65"/>
        <v>987404.02</v>
      </c>
      <c r="Z347" s="20"/>
      <c r="AA347" s="20"/>
      <c r="AB347" s="20"/>
      <c r="AC347" s="20"/>
      <c r="AD347" s="20">
        <f t="shared" si="65"/>
        <v>1014906.06</v>
      </c>
    </row>
    <row r="348" spans="1:38" ht="39" customHeight="1" x14ac:dyDescent="0.25">
      <c r="A348" s="58"/>
      <c r="B348" s="5" t="s">
        <v>30</v>
      </c>
      <c r="C348" s="11" t="s">
        <v>16</v>
      </c>
      <c r="D348" s="11">
        <v>3</v>
      </c>
      <c r="E348" s="11">
        <v>13</v>
      </c>
      <c r="F348" s="11">
        <v>902</v>
      </c>
      <c r="G348" s="11">
        <v>80700</v>
      </c>
      <c r="H348" s="21">
        <v>244</v>
      </c>
      <c r="I348" s="20">
        <v>960959.74</v>
      </c>
      <c r="J348" s="20"/>
      <c r="K348" s="20"/>
      <c r="L348" s="20">
        <v>0</v>
      </c>
      <c r="M348" s="20"/>
      <c r="N348" s="20">
        <v>15210</v>
      </c>
      <c r="O348" s="20"/>
      <c r="P348" s="20">
        <v>-31678.02</v>
      </c>
      <c r="Q348" s="20"/>
      <c r="R348" s="20"/>
      <c r="S348" s="20"/>
      <c r="T348" s="20">
        <f>960959.74+L348+N348+P348</f>
        <v>944491.72</v>
      </c>
      <c r="U348" s="20"/>
      <c r="V348" s="20"/>
      <c r="W348" s="20"/>
      <c r="X348" s="20"/>
      <c r="Y348" s="20">
        <v>987404.02</v>
      </c>
      <c r="Z348" s="20"/>
      <c r="AA348" s="20"/>
      <c r="AB348" s="20"/>
      <c r="AC348" s="20"/>
      <c r="AD348" s="20">
        <v>1014906.06</v>
      </c>
    </row>
    <row r="349" spans="1:38" s="44" customFormat="1" ht="87.75" customHeight="1" x14ac:dyDescent="0.25">
      <c r="A349" s="3" t="s">
        <v>162</v>
      </c>
      <c r="B349" s="49" t="s">
        <v>163</v>
      </c>
      <c r="C349" s="13" t="s">
        <v>16</v>
      </c>
      <c r="D349" s="13">
        <v>3</v>
      </c>
      <c r="E349" s="13">
        <v>13</v>
      </c>
      <c r="F349" s="13">
        <v>902</v>
      </c>
      <c r="G349" s="13">
        <v>80730</v>
      </c>
      <c r="H349" s="18"/>
      <c r="I349" s="15">
        <f>I350+I355+I358</f>
        <v>10742725.100000001</v>
      </c>
      <c r="J349" s="22"/>
      <c r="K349" s="15">
        <f>K350+K355+K358</f>
        <v>206830.8</v>
      </c>
      <c r="L349" s="15">
        <f>L350+L355+L358</f>
        <v>123000</v>
      </c>
      <c r="M349" s="15"/>
      <c r="N349" s="15">
        <f>N350+N355+N358</f>
        <v>33340</v>
      </c>
      <c r="O349" s="15"/>
      <c r="P349" s="15">
        <f>P350+P355+P358</f>
        <v>31678.02</v>
      </c>
      <c r="Q349" s="15"/>
      <c r="R349" s="15"/>
      <c r="S349" s="15"/>
      <c r="T349" s="15">
        <f>T350+T355+T358</f>
        <v>11137573.92</v>
      </c>
      <c r="U349" s="15"/>
      <c r="V349" s="15"/>
      <c r="W349" s="15"/>
      <c r="X349" s="15"/>
      <c r="Y349" s="15">
        <f>Y350+Y355+Y358</f>
        <v>10698531.870000001</v>
      </c>
      <c r="Z349" s="15"/>
      <c r="AA349" s="15"/>
      <c r="AB349" s="15"/>
      <c r="AC349" s="15"/>
      <c r="AD349" s="15">
        <f>AD350+AD355+AD358</f>
        <v>11085486.33</v>
      </c>
      <c r="AF349" s="30"/>
      <c r="AG349" s="30"/>
      <c r="AH349" s="30"/>
      <c r="AI349" s="30"/>
      <c r="AJ349" s="30"/>
      <c r="AK349" s="30"/>
      <c r="AL349" s="30"/>
    </row>
    <row r="350" spans="1:38" ht="56.25" x14ac:dyDescent="0.25">
      <c r="A350" s="5" t="s">
        <v>22</v>
      </c>
      <c r="B350" s="5" t="s">
        <v>22</v>
      </c>
      <c r="C350" s="11" t="s">
        <v>16</v>
      </c>
      <c r="D350" s="11">
        <v>3</v>
      </c>
      <c r="E350" s="11">
        <v>13</v>
      </c>
      <c r="F350" s="11">
        <v>902</v>
      </c>
      <c r="G350" s="11">
        <v>80730</v>
      </c>
      <c r="H350" s="21" t="s">
        <v>57</v>
      </c>
      <c r="I350" s="20">
        <f>I351</f>
        <v>8720650.0600000005</v>
      </c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>
        <f>T351</f>
        <v>8720650.0600000005</v>
      </c>
      <c r="U350" s="20"/>
      <c r="V350" s="20"/>
      <c r="W350" s="20"/>
      <c r="X350" s="20"/>
      <c r="Y350" s="20">
        <f>Y351</f>
        <v>9233108.8200000003</v>
      </c>
      <c r="Z350" s="20"/>
      <c r="AA350" s="20"/>
      <c r="AB350" s="20"/>
      <c r="AC350" s="20"/>
      <c r="AD350" s="20">
        <f>AD351</f>
        <v>9597886.0899999999</v>
      </c>
    </row>
    <row r="351" spans="1:38" ht="22.5" x14ac:dyDescent="0.25">
      <c r="A351" s="54" t="s">
        <v>79</v>
      </c>
      <c r="B351" s="36" t="s">
        <v>79</v>
      </c>
      <c r="C351" s="11" t="s">
        <v>16</v>
      </c>
      <c r="D351" s="11">
        <v>3</v>
      </c>
      <c r="E351" s="11">
        <v>13</v>
      </c>
      <c r="F351" s="11">
        <v>902</v>
      </c>
      <c r="G351" s="11">
        <v>80730</v>
      </c>
      <c r="H351" s="21" t="s">
        <v>80</v>
      </c>
      <c r="I351" s="20">
        <f>I352+I353+I354</f>
        <v>8720650.0600000005</v>
      </c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>
        <f>T352+T353+T354</f>
        <v>8720650.0600000005</v>
      </c>
      <c r="U351" s="20"/>
      <c r="V351" s="20"/>
      <c r="W351" s="20"/>
      <c r="X351" s="20"/>
      <c r="Y351" s="20">
        <f>Y352+Y353+Y354</f>
        <v>9233108.8200000003</v>
      </c>
      <c r="Z351" s="20"/>
      <c r="AA351" s="20"/>
      <c r="AB351" s="20"/>
      <c r="AC351" s="20"/>
      <c r="AD351" s="20">
        <f>AD352+AD353+AD354</f>
        <v>9597886.0899999999</v>
      </c>
    </row>
    <row r="352" spans="1:38" x14ac:dyDescent="0.25">
      <c r="A352" s="5" t="s">
        <v>81</v>
      </c>
      <c r="B352" s="5" t="s">
        <v>81</v>
      </c>
      <c r="C352" s="11" t="s">
        <v>16</v>
      </c>
      <c r="D352" s="11">
        <v>3</v>
      </c>
      <c r="E352" s="11">
        <v>13</v>
      </c>
      <c r="F352" s="11">
        <v>902</v>
      </c>
      <c r="G352" s="11">
        <v>80730</v>
      </c>
      <c r="H352" s="21">
        <v>111</v>
      </c>
      <c r="I352" s="20">
        <v>6732100.71</v>
      </c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>
        <v>6732100.71</v>
      </c>
      <c r="U352" s="20"/>
      <c r="V352" s="20"/>
      <c r="W352" s="20"/>
      <c r="X352" s="20"/>
      <c r="Y352" s="20">
        <v>7125694.1799999997</v>
      </c>
      <c r="Z352" s="20"/>
      <c r="AA352" s="20"/>
      <c r="AB352" s="20"/>
      <c r="AC352" s="20"/>
      <c r="AD352" s="20">
        <v>7405861.0499999998</v>
      </c>
    </row>
    <row r="353" spans="1:38" ht="33.75" hidden="1" x14ac:dyDescent="0.25">
      <c r="A353" s="5" t="s">
        <v>164</v>
      </c>
      <c r="B353" s="5" t="s">
        <v>164</v>
      </c>
      <c r="C353" s="11" t="s">
        <v>16</v>
      </c>
      <c r="D353" s="11">
        <v>3</v>
      </c>
      <c r="E353" s="11">
        <v>13</v>
      </c>
      <c r="F353" s="11">
        <v>902</v>
      </c>
      <c r="G353" s="11">
        <v>80730</v>
      </c>
      <c r="H353" s="21">
        <v>112</v>
      </c>
      <c r="I353" s="20">
        <v>0</v>
      </c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>
        <v>0</v>
      </c>
      <c r="U353" s="20"/>
      <c r="V353" s="20"/>
      <c r="W353" s="20"/>
      <c r="X353" s="20"/>
      <c r="Y353" s="20">
        <v>0</v>
      </c>
      <c r="Z353" s="20"/>
      <c r="AA353" s="20"/>
      <c r="AB353" s="20"/>
      <c r="AC353" s="20"/>
      <c r="AD353" s="20">
        <v>0</v>
      </c>
    </row>
    <row r="354" spans="1:38" ht="45" x14ac:dyDescent="0.25">
      <c r="A354" s="5" t="s">
        <v>83</v>
      </c>
      <c r="B354" s="5" t="s">
        <v>83</v>
      </c>
      <c r="C354" s="11" t="s">
        <v>16</v>
      </c>
      <c r="D354" s="11">
        <v>3</v>
      </c>
      <c r="E354" s="11">
        <v>13</v>
      </c>
      <c r="F354" s="11">
        <v>902</v>
      </c>
      <c r="G354" s="11">
        <v>80730</v>
      </c>
      <c r="H354" s="21">
        <v>119</v>
      </c>
      <c r="I354" s="20">
        <v>1988549.35</v>
      </c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>
        <v>1988549.35</v>
      </c>
      <c r="U354" s="20"/>
      <c r="V354" s="20"/>
      <c r="W354" s="20"/>
      <c r="X354" s="20"/>
      <c r="Y354" s="20">
        <v>2107414.64</v>
      </c>
      <c r="Z354" s="20"/>
      <c r="AA354" s="20"/>
      <c r="AB354" s="20"/>
      <c r="AC354" s="20"/>
      <c r="AD354" s="20">
        <v>2192025.04</v>
      </c>
    </row>
    <row r="355" spans="1:38" ht="22.5" x14ac:dyDescent="0.25">
      <c r="A355" s="5" t="s">
        <v>26</v>
      </c>
      <c r="B355" s="5" t="s">
        <v>26</v>
      </c>
      <c r="C355" s="11" t="s">
        <v>16</v>
      </c>
      <c r="D355" s="11">
        <v>3</v>
      </c>
      <c r="E355" s="11">
        <v>13</v>
      </c>
      <c r="F355" s="11">
        <v>902</v>
      </c>
      <c r="G355" s="11">
        <v>80730</v>
      </c>
      <c r="H355" s="21" t="s">
        <v>27</v>
      </c>
      <c r="I355" s="20">
        <f t="shared" ref="I355:AD356" si="66">I356</f>
        <v>2022075.04</v>
      </c>
      <c r="J355" s="20"/>
      <c r="K355" s="20">
        <f t="shared" si="66"/>
        <v>206830.8</v>
      </c>
      <c r="L355" s="20">
        <f t="shared" si="66"/>
        <v>123000</v>
      </c>
      <c r="M355" s="20"/>
      <c r="N355" s="20">
        <f t="shared" si="66"/>
        <v>33340</v>
      </c>
      <c r="O355" s="20"/>
      <c r="P355" s="20">
        <f t="shared" si="66"/>
        <v>31678.02</v>
      </c>
      <c r="Q355" s="20"/>
      <c r="R355" s="20"/>
      <c r="S355" s="20"/>
      <c r="T355" s="20">
        <f t="shared" si="66"/>
        <v>2416923.86</v>
      </c>
      <c r="U355" s="20"/>
      <c r="V355" s="20"/>
      <c r="W355" s="20"/>
      <c r="X355" s="20"/>
      <c r="Y355" s="20">
        <f t="shared" si="66"/>
        <v>1465423.05</v>
      </c>
      <c r="Z355" s="20"/>
      <c r="AA355" s="20"/>
      <c r="AB355" s="20"/>
      <c r="AC355" s="20"/>
      <c r="AD355" s="20">
        <f t="shared" si="66"/>
        <v>1487600.24</v>
      </c>
    </row>
    <row r="356" spans="1:38" ht="33.75" x14ac:dyDescent="0.25">
      <c r="A356" s="5" t="s">
        <v>28</v>
      </c>
      <c r="B356" s="5" t="s">
        <v>28</v>
      </c>
      <c r="C356" s="11" t="s">
        <v>16</v>
      </c>
      <c r="D356" s="11">
        <v>3</v>
      </c>
      <c r="E356" s="11">
        <v>13</v>
      </c>
      <c r="F356" s="11">
        <v>902</v>
      </c>
      <c r="G356" s="11">
        <v>80730</v>
      </c>
      <c r="H356" s="21" t="s">
        <v>29</v>
      </c>
      <c r="I356" s="20">
        <f t="shared" si="66"/>
        <v>2022075.04</v>
      </c>
      <c r="J356" s="20"/>
      <c r="K356" s="20">
        <f t="shared" si="66"/>
        <v>206830.8</v>
      </c>
      <c r="L356" s="20">
        <f t="shared" si="66"/>
        <v>123000</v>
      </c>
      <c r="M356" s="20"/>
      <c r="N356" s="20">
        <f t="shared" si="66"/>
        <v>33340</v>
      </c>
      <c r="O356" s="20"/>
      <c r="P356" s="20">
        <f t="shared" si="66"/>
        <v>31678.02</v>
      </c>
      <c r="Q356" s="20"/>
      <c r="R356" s="20"/>
      <c r="S356" s="20"/>
      <c r="T356" s="20">
        <f t="shared" si="66"/>
        <v>2416923.86</v>
      </c>
      <c r="U356" s="20"/>
      <c r="V356" s="20"/>
      <c r="W356" s="20"/>
      <c r="X356" s="20"/>
      <c r="Y356" s="20">
        <f t="shared" si="66"/>
        <v>1465423.05</v>
      </c>
      <c r="Z356" s="20"/>
      <c r="AA356" s="20"/>
      <c r="AB356" s="20"/>
      <c r="AC356" s="20"/>
      <c r="AD356" s="20">
        <f t="shared" si="66"/>
        <v>1487600.24</v>
      </c>
    </row>
    <row r="357" spans="1:38" ht="33.75" x14ac:dyDescent="0.25">
      <c r="A357" s="5" t="s">
        <v>30</v>
      </c>
      <c r="B357" s="5" t="s">
        <v>30</v>
      </c>
      <c r="C357" s="11" t="s">
        <v>16</v>
      </c>
      <c r="D357" s="11">
        <v>3</v>
      </c>
      <c r="E357" s="11">
        <v>13</v>
      </c>
      <c r="F357" s="11">
        <v>902</v>
      </c>
      <c r="G357" s="11">
        <v>80730</v>
      </c>
      <c r="H357" s="21">
        <v>244</v>
      </c>
      <c r="I357" s="20">
        <v>2022075.04</v>
      </c>
      <c r="J357" s="20"/>
      <c r="K357" s="20">
        <v>206830.8</v>
      </c>
      <c r="L357" s="20">
        <v>123000</v>
      </c>
      <c r="M357" s="20"/>
      <c r="N357" s="20">
        <v>33340</v>
      </c>
      <c r="O357" s="20"/>
      <c r="P357" s="20">
        <v>31678.02</v>
      </c>
      <c r="Q357" s="20"/>
      <c r="R357" s="20"/>
      <c r="S357" s="20"/>
      <c r="T357" s="20">
        <f>2022075.04+K357+L357+N357+P357</f>
        <v>2416923.86</v>
      </c>
      <c r="U357" s="20"/>
      <c r="V357" s="20"/>
      <c r="W357" s="20"/>
      <c r="X357" s="20"/>
      <c r="Y357" s="20">
        <v>1465423.05</v>
      </c>
      <c r="Z357" s="20"/>
      <c r="AA357" s="20"/>
      <c r="AB357" s="20"/>
      <c r="AC357" s="20"/>
      <c r="AD357" s="20">
        <v>1487600.24</v>
      </c>
    </row>
    <row r="358" spans="1:38" hidden="1" x14ac:dyDescent="0.25">
      <c r="A358" s="5" t="s">
        <v>59</v>
      </c>
      <c r="B358" s="5" t="s">
        <v>59</v>
      </c>
      <c r="C358" s="11" t="s">
        <v>16</v>
      </c>
      <c r="D358" s="11">
        <v>3</v>
      </c>
      <c r="E358" s="11">
        <v>13</v>
      </c>
      <c r="F358" s="11">
        <v>902</v>
      </c>
      <c r="G358" s="11">
        <v>80730</v>
      </c>
      <c r="H358" s="21" t="s">
        <v>130</v>
      </c>
      <c r="I358" s="20">
        <f>I359+I361</f>
        <v>0</v>
      </c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>
        <f>T359+T361</f>
        <v>0</v>
      </c>
      <c r="U358" s="20"/>
      <c r="V358" s="20"/>
      <c r="W358" s="20"/>
      <c r="X358" s="20"/>
      <c r="Y358" s="20">
        <f>Y359+Y361</f>
        <v>0</v>
      </c>
      <c r="Z358" s="20"/>
      <c r="AA358" s="20"/>
      <c r="AB358" s="20"/>
      <c r="AC358" s="20"/>
      <c r="AD358" s="20">
        <f>AD359+AD361</f>
        <v>0</v>
      </c>
    </row>
    <row r="359" spans="1:38" hidden="1" x14ac:dyDescent="0.25">
      <c r="A359" s="5"/>
      <c r="B359" s="5" t="s">
        <v>60</v>
      </c>
      <c r="C359" s="11" t="s">
        <v>16</v>
      </c>
      <c r="D359" s="11">
        <v>3</v>
      </c>
      <c r="E359" s="11">
        <v>13</v>
      </c>
      <c r="F359" s="11">
        <v>902</v>
      </c>
      <c r="G359" s="11">
        <v>80730</v>
      </c>
      <c r="H359" s="21">
        <v>830</v>
      </c>
      <c r="I359" s="20">
        <f>I360</f>
        <v>0</v>
      </c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>
        <f>T360</f>
        <v>0</v>
      </c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</row>
    <row r="360" spans="1:38" ht="45" hidden="1" x14ac:dyDescent="0.25">
      <c r="A360" s="5"/>
      <c r="B360" s="5" t="s">
        <v>101</v>
      </c>
      <c r="C360" s="11" t="s">
        <v>16</v>
      </c>
      <c r="D360" s="11">
        <v>3</v>
      </c>
      <c r="E360" s="11">
        <v>13</v>
      </c>
      <c r="F360" s="11">
        <v>902</v>
      </c>
      <c r="G360" s="11">
        <v>80730</v>
      </c>
      <c r="H360" s="21">
        <v>831</v>
      </c>
      <c r="I360" s="20">
        <v>0</v>
      </c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>
        <v>0</v>
      </c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</row>
    <row r="361" spans="1:38" ht="22.5" hidden="1" x14ac:dyDescent="0.25">
      <c r="A361" s="5" t="s">
        <v>62</v>
      </c>
      <c r="B361" s="5" t="s">
        <v>62</v>
      </c>
      <c r="C361" s="11" t="s">
        <v>16</v>
      </c>
      <c r="D361" s="11">
        <v>3</v>
      </c>
      <c r="E361" s="11">
        <v>13</v>
      </c>
      <c r="F361" s="11">
        <v>902</v>
      </c>
      <c r="G361" s="11">
        <v>80730</v>
      </c>
      <c r="H361" s="21">
        <v>850</v>
      </c>
      <c r="I361" s="20">
        <f>I362+I363+I364</f>
        <v>0</v>
      </c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>
        <f>T362+T363+T364</f>
        <v>0</v>
      </c>
      <c r="U361" s="20"/>
      <c r="V361" s="20"/>
      <c r="W361" s="20"/>
      <c r="X361" s="20"/>
      <c r="Y361" s="20">
        <f>Y362+Y363</f>
        <v>0</v>
      </c>
      <c r="Z361" s="20"/>
      <c r="AA361" s="20"/>
      <c r="AB361" s="20"/>
      <c r="AC361" s="20"/>
      <c r="AD361" s="20">
        <f>AD362+AD363</f>
        <v>0</v>
      </c>
    </row>
    <row r="362" spans="1:38" ht="22.5" hidden="1" x14ac:dyDescent="0.25">
      <c r="A362" s="5" t="s">
        <v>131</v>
      </c>
      <c r="B362" s="5" t="s">
        <v>131</v>
      </c>
      <c r="C362" s="11" t="s">
        <v>16</v>
      </c>
      <c r="D362" s="11">
        <v>3</v>
      </c>
      <c r="E362" s="11">
        <v>13</v>
      </c>
      <c r="F362" s="11">
        <v>902</v>
      </c>
      <c r="G362" s="11">
        <v>80730</v>
      </c>
      <c r="H362" s="21" t="s">
        <v>132</v>
      </c>
      <c r="I362" s="20">
        <v>0</v>
      </c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>
        <v>0</v>
      </c>
      <c r="U362" s="20"/>
      <c r="V362" s="20"/>
      <c r="W362" s="20"/>
      <c r="X362" s="20"/>
      <c r="Y362" s="20">
        <v>0</v>
      </c>
      <c r="Z362" s="20"/>
      <c r="AA362" s="20"/>
      <c r="AB362" s="20"/>
      <c r="AC362" s="20"/>
      <c r="AD362" s="20">
        <v>0</v>
      </c>
    </row>
    <row r="363" spans="1:38" hidden="1" x14ac:dyDescent="0.25">
      <c r="A363" s="5" t="s">
        <v>133</v>
      </c>
      <c r="B363" s="5" t="s">
        <v>133</v>
      </c>
      <c r="C363" s="11" t="s">
        <v>16</v>
      </c>
      <c r="D363" s="11">
        <v>3</v>
      </c>
      <c r="E363" s="11">
        <v>13</v>
      </c>
      <c r="F363" s="11">
        <v>902</v>
      </c>
      <c r="G363" s="11">
        <v>80730</v>
      </c>
      <c r="H363" s="21" t="s">
        <v>134</v>
      </c>
      <c r="I363" s="20">
        <v>0</v>
      </c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>
        <v>0</v>
      </c>
      <c r="U363" s="20"/>
      <c r="V363" s="20"/>
      <c r="W363" s="20"/>
      <c r="X363" s="20"/>
      <c r="Y363" s="20">
        <v>0</v>
      </c>
      <c r="Z363" s="20"/>
      <c r="AA363" s="20"/>
      <c r="AB363" s="20"/>
      <c r="AC363" s="20"/>
      <c r="AD363" s="20">
        <v>0</v>
      </c>
    </row>
    <row r="364" spans="1:38" hidden="1" x14ac:dyDescent="0.25">
      <c r="A364" s="5" t="s">
        <v>63</v>
      </c>
      <c r="B364" s="5" t="s">
        <v>63</v>
      </c>
      <c r="C364" s="11" t="s">
        <v>16</v>
      </c>
      <c r="D364" s="11">
        <v>3</v>
      </c>
      <c r="E364" s="11">
        <v>13</v>
      </c>
      <c r="F364" s="11">
        <v>902</v>
      </c>
      <c r="G364" s="11">
        <v>80730</v>
      </c>
      <c r="H364" s="21">
        <v>853</v>
      </c>
      <c r="I364" s="20">
        <v>0</v>
      </c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>
        <v>0</v>
      </c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:38" s="44" customFormat="1" ht="31.5" x14ac:dyDescent="0.25">
      <c r="A365" s="3"/>
      <c r="B365" s="3" t="s">
        <v>165</v>
      </c>
      <c r="C365" s="13" t="s">
        <v>16</v>
      </c>
      <c r="D365" s="13">
        <v>3</v>
      </c>
      <c r="E365" s="13">
        <v>13</v>
      </c>
      <c r="F365" s="13">
        <v>902</v>
      </c>
      <c r="G365" s="13">
        <v>81200</v>
      </c>
      <c r="H365" s="14"/>
      <c r="I365" s="15">
        <f>I366</f>
        <v>595523.76</v>
      </c>
      <c r="J365" s="15"/>
      <c r="K365" s="15"/>
      <c r="L365" s="15">
        <f t="shared" ref="L365:T367" si="67">L366</f>
        <v>0</v>
      </c>
      <c r="M365" s="15"/>
      <c r="N365" s="15"/>
      <c r="O365" s="15"/>
      <c r="P365" s="15"/>
      <c r="Q365" s="15"/>
      <c r="R365" s="15"/>
      <c r="S365" s="15"/>
      <c r="T365" s="15">
        <f t="shared" si="67"/>
        <v>595523.76</v>
      </c>
      <c r="U365" s="15"/>
      <c r="V365" s="15"/>
      <c r="W365" s="15"/>
      <c r="X365" s="15"/>
      <c r="Y365" s="15">
        <f t="shared" ref="Y365:AD367" si="68">Y366</f>
        <v>595523.76</v>
      </c>
      <c r="Z365" s="15"/>
      <c r="AA365" s="15"/>
      <c r="AB365" s="15"/>
      <c r="AC365" s="15"/>
      <c r="AD365" s="15">
        <f t="shared" si="68"/>
        <v>595523.76</v>
      </c>
      <c r="AF365" s="30"/>
      <c r="AG365" s="30"/>
      <c r="AH365" s="30"/>
      <c r="AI365" s="30"/>
      <c r="AJ365" s="30"/>
      <c r="AK365" s="30"/>
      <c r="AL365" s="30"/>
    </row>
    <row r="366" spans="1:38" ht="22.5" x14ac:dyDescent="0.25">
      <c r="A366" s="5"/>
      <c r="B366" s="5" t="s">
        <v>26</v>
      </c>
      <c r="C366" s="11" t="s">
        <v>16</v>
      </c>
      <c r="D366" s="11">
        <v>3</v>
      </c>
      <c r="E366" s="11">
        <v>13</v>
      </c>
      <c r="F366" s="11">
        <v>902</v>
      </c>
      <c r="G366" s="11">
        <v>81200</v>
      </c>
      <c r="H366" s="21">
        <v>200</v>
      </c>
      <c r="I366" s="20">
        <f>I367</f>
        <v>595523.76</v>
      </c>
      <c r="J366" s="20"/>
      <c r="K366" s="20"/>
      <c r="L366" s="20">
        <f t="shared" si="67"/>
        <v>0</v>
      </c>
      <c r="M366" s="20"/>
      <c r="N366" s="20"/>
      <c r="O366" s="20"/>
      <c r="P366" s="20"/>
      <c r="Q366" s="20"/>
      <c r="R366" s="20"/>
      <c r="S366" s="20"/>
      <c r="T366" s="20">
        <f t="shared" si="67"/>
        <v>595523.76</v>
      </c>
      <c r="U366" s="20"/>
      <c r="V366" s="20"/>
      <c r="W366" s="20"/>
      <c r="X366" s="20"/>
      <c r="Y366" s="20">
        <f t="shared" si="68"/>
        <v>595523.76</v>
      </c>
      <c r="Z366" s="20"/>
      <c r="AA366" s="20"/>
      <c r="AB366" s="20"/>
      <c r="AC366" s="20"/>
      <c r="AD366" s="20">
        <f t="shared" si="68"/>
        <v>595523.76</v>
      </c>
    </row>
    <row r="367" spans="1:38" ht="22.5" x14ac:dyDescent="0.25">
      <c r="A367" s="5"/>
      <c r="B367" s="5" t="s">
        <v>28</v>
      </c>
      <c r="C367" s="11" t="s">
        <v>16</v>
      </c>
      <c r="D367" s="11">
        <v>3</v>
      </c>
      <c r="E367" s="11">
        <v>13</v>
      </c>
      <c r="F367" s="11">
        <v>902</v>
      </c>
      <c r="G367" s="11">
        <v>81200</v>
      </c>
      <c r="H367" s="21">
        <v>240</v>
      </c>
      <c r="I367" s="20">
        <f>I368</f>
        <v>595523.76</v>
      </c>
      <c r="J367" s="20"/>
      <c r="K367" s="20"/>
      <c r="L367" s="20">
        <f t="shared" si="67"/>
        <v>0</v>
      </c>
      <c r="M367" s="20"/>
      <c r="N367" s="20"/>
      <c r="O367" s="20"/>
      <c r="P367" s="20"/>
      <c r="Q367" s="20"/>
      <c r="R367" s="20"/>
      <c r="S367" s="20"/>
      <c r="T367" s="20">
        <f t="shared" si="67"/>
        <v>595523.76</v>
      </c>
      <c r="U367" s="20"/>
      <c r="V367" s="20"/>
      <c r="W367" s="20"/>
      <c r="X367" s="20"/>
      <c r="Y367" s="20">
        <f t="shared" si="68"/>
        <v>595523.76</v>
      </c>
      <c r="Z367" s="20"/>
      <c r="AA367" s="20"/>
      <c r="AB367" s="20"/>
      <c r="AC367" s="20"/>
      <c r="AD367" s="20">
        <f t="shared" si="68"/>
        <v>595523.76</v>
      </c>
    </row>
    <row r="368" spans="1:38" ht="22.5" x14ac:dyDescent="0.25">
      <c r="A368" s="5"/>
      <c r="B368" s="5" t="s">
        <v>30</v>
      </c>
      <c r="C368" s="11" t="s">
        <v>16</v>
      </c>
      <c r="D368" s="11">
        <v>3</v>
      </c>
      <c r="E368" s="11">
        <v>13</v>
      </c>
      <c r="F368" s="11">
        <v>902</v>
      </c>
      <c r="G368" s="11">
        <v>81200</v>
      </c>
      <c r="H368" s="21">
        <v>244</v>
      </c>
      <c r="I368" s="20">
        <v>595523.76</v>
      </c>
      <c r="J368" s="20"/>
      <c r="K368" s="20"/>
      <c r="L368" s="20">
        <v>0</v>
      </c>
      <c r="M368" s="20"/>
      <c r="N368" s="20"/>
      <c r="O368" s="20"/>
      <c r="P368" s="20"/>
      <c r="Q368" s="20"/>
      <c r="R368" s="20"/>
      <c r="S368" s="20"/>
      <c r="T368" s="20">
        <f>595523.76+L368</f>
        <v>595523.76</v>
      </c>
      <c r="U368" s="20"/>
      <c r="V368" s="20"/>
      <c r="W368" s="20"/>
      <c r="X368" s="20"/>
      <c r="Y368" s="20">
        <v>595523.76</v>
      </c>
      <c r="Z368" s="20"/>
      <c r="AA368" s="20"/>
      <c r="AB368" s="20"/>
      <c r="AC368" s="20"/>
      <c r="AD368" s="20">
        <v>595523.76</v>
      </c>
    </row>
    <row r="369" spans="1:39" ht="21" x14ac:dyDescent="0.25">
      <c r="A369" s="5"/>
      <c r="B369" s="3" t="s">
        <v>127</v>
      </c>
      <c r="C369" s="13" t="s">
        <v>16</v>
      </c>
      <c r="D369" s="13">
        <v>3</v>
      </c>
      <c r="E369" s="13">
        <v>13</v>
      </c>
      <c r="F369" s="13">
        <v>902</v>
      </c>
      <c r="G369" s="13">
        <v>83360</v>
      </c>
      <c r="H369" s="14"/>
      <c r="I369" s="15">
        <f t="shared" ref="I369:AD370" si="69">I370</f>
        <v>43599</v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>
        <f t="shared" si="69"/>
        <v>43599</v>
      </c>
      <c r="U369" s="15"/>
      <c r="V369" s="15"/>
      <c r="W369" s="15"/>
      <c r="X369" s="15"/>
      <c r="Y369" s="15">
        <f t="shared" si="69"/>
        <v>43599</v>
      </c>
      <c r="Z369" s="15"/>
      <c r="AA369" s="15"/>
      <c r="AB369" s="15"/>
      <c r="AC369" s="15"/>
      <c r="AD369" s="15">
        <f t="shared" si="69"/>
        <v>43599</v>
      </c>
    </row>
    <row r="370" spans="1:39" x14ac:dyDescent="0.25">
      <c r="A370" s="5"/>
      <c r="B370" s="5" t="s">
        <v>59</v>
      </c>
      <c r="C370" s="11" t="s">
        <v>16</v>
      </c>
      <c r="D370" s="11">
        <v>3</v>
      </c>
      <c r="E370" s="11">
        <v>13</v>
      </c>
      <c r="F370" s="11">
        <v>902</v>
      </c>
      <c r="G370" s="11">
        <v>83360</v>
      </c>
      <c r="H370" s="21" t="s">
        <v>130</v>
      </c>
      <c r="I370" s="20">
        <f t="shared" si="69"/>
        <v>43599</v>
      </c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>
        <f t="shared" si="69"/>
        <v>43599</v>
      </c>
      <c r="U370" s="20"/>
      <c r="V370" s="20"/>
      <c r="W370" s="20"/>
      <c r="X370" s="20"/>
      <c r="Y370" s="20">
        <f t="shared" si="69"/>
        <v>43599</v>
      </c>
      <c r="Z370" s="20"/>
      <c r="AA370" s="20"/>
      <c r="AB370" s="20"/>
      <c r="AC370" s="20"/>
      <c r="AD370" s="20">
        <f t="shared" si="69"/>
        <v>43599</v>
      </c>
    </row>
    <row r="371" spans="1:39" x14ac:dyDescent="0.25">
      <c r="A371" s="5"/>
      <c r="B371" s="5" t="s">
        <v>62</v>
      </c>
      <c r="C371" s="11" t="s">
        <v>16</v>
      </c>
      <c r="D371" s="11">
        <v>3</v>
      </c>
      <c r="E371" s="11">
        <v>13</v>
      </c>
      <c r="F371" s="11">
        <v>902</v>
      </c>
      <c r="G371" s="11">
        <v>83360</v>
      </c>
      <c r="H371" s="21">
        <v>850</v>
      </c>
      <c r="I371" s="20">
        <f>I372+I373+I374</f>
        <v>43599</v>
      </c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>
        <f>T372+T373+T374</f>
        <v>43599</v>
      </c>
      <c r="U371" s="20"/>
      <c r="V371" s="20"/>
      <c r="W371" s="20"/>
      <c r="X371" s="20"/>
      <c r="Y371" s="20">
        <f>Y372+Y373+Y374</f>
        <v>43599</v>
      </c>
      <c r="Z371" s="20"/>
      <c r="AA371" s="20"/>
      <c r="AB371" s="20"/>
      <c r="AC371" s="20"/>
      <c r="AD371" s="20">
        <f>AD372+AD373+AD374</f>
        <v>43599</v>
      </c>
    </row>
    <row r="372" spans="1:39" ht="22.5" x14ac:dyDescent="0.25">
      <c r="A372" s="5"/>
      <c r="B372" s="5" t="s">
        <v>131</v>
      </c>
      <c r="C372" s="11" t="s">
        <v>16</v>
      </c>
      <c r="D372" s="11">
        <v>3</v>
      </c>
      <c r="E372" s="11">
        <v>13</v>
      </c>
      <c r="F372" s="11">
        <v>902</v>
      </c>
      <c r="G372" s="11">
        <v>83360</v>
      </c>
      <c r="H372" s="21" t="s">
        <v>132</v>
      </c>
      <c r="I372" s="20">
        <v>28264</v>
      </c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>
        <v>28264</v>
      </c>
      <c r="U372" s="20"/>
      <c r="V372" s="20"/>
      <c r="W372" s="20"/>
      <c r="X372" s="20"/>
      <c r="Y372" s="20">
        <v>28264</v>
      </c>
      <c r="Z372" s="20"/>
      <c r="AA372" s="20"/>
      <c r="AB372" s="20"/>
      <c r="AC372" s="20"/>
      <c r="AD372" s="20">
        <v>28264</v>
      </c>
    </row>
    <row r="373" spans="1:39" x14ac:dyDescent="0.25">
      <c r="A373" s="5"/>
      <c r="B373" s="5" t="s">
        <v>133</v>
      </c>
      <c r="C373" s="11" t="s">
        <v>16</v>
      </c>
      <c r="D373" s="11">
        <v>3</v>
      </c>
      <c r="E373" s="11">
        <v>13</v>
      </c>
      <c r="F373" s="11">
        <v>902</v>
      </c>
      <c r="G373" s="11">
        <v>83360</v>
      </c>
      <c r="H373" s="21" t="s">
        <v>134</v>
      </c>
      <c r="I373" s="20">
        <v>6365</v>
      </c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>
        <v>6365</v>
      </c>
      <c r="U373" s="20"/>
      <c r="V373" s="20"/>
      <c r="W373" s="20"/>
      <c r="X373" s="20"/>
      <c r="Y373" s="20">
        <v>6365</v>
      </c>
      <c r="Z373" s="20"/>
      <c r="AA373" s="20"/>
      <c r="AB373" s="20"/>
      <c r="AC373" s="20"/>
      <c r="AD373" s="20">
        <v>6365</v>
      </c>
    </row>
    <row r="374" spans="1:39" x14ac:dyDescent="0.25">
      <c r="A374" s="5"/>
      <c r="B374" s="5" t="s">
        <v>63</v>
      </c>
      <c r="C374" s="11" t="s">
        <v>16</v>
      </c>
      <c r="D374" s="11">
        <v>3</v>
      </c>
      <c r="E374" s="11">
        <v>13</v>
      </c>
      <c r="F374" s="11">
        <v>902</v>
      </c>
      <c r="G374" s="11">
        <v>83360</v>
      </c>
      <c r="H374" s="21">
        <v>853</v>
      </c>
      <c r="I374" s="20">
        <v>8970</v>
      </c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>
        <v>8970</v>
      </c>
      <c r="U374" s="20"/>
      <c r="V374" s="20"/>
      <c r="W374" s="20"/>
      <c r="X374" s="20"/>
      <c r="Y374" s="20">
        <v>8970</v>
      </c>
      <c r="Z374" s="20"/>
      <c r="AA374" s="20"/>
      <c r="AB374" s="20"/>
      <c r="AC374" s="20"/>
      <c r="AD374" s="20">
        <v>8970</v>
      </c>
    </row>
    <row r="375" spans="1:39" s="44" customFormat="1" ht="61.5" customHeight="1" x14ac:dyDescent="0.25">
      <c r="A375" s="3" t="s">
        <v>166</v>
      </c>
      <c r="B375" s="3" t="s">
        <v>321</v>
      </c>
      <c r="C375" s="19" t="s">
        <v>16</v>
      </c>
      <c r="D375" s="13">
        <v>4</v>
      </c>
      <c r="E375" s="17"/>
      <c r="F375" s="16"/>
      <c r="G375" s="17"/>
      <c r="H375" s="17"/>
      <c r="I375" s="15">
        <f>I376</f>
        <v>9045365.6999999993</v>
      </c>
      <c r="J375" s="26"/>
      <c r="K375" s="26"/>
      <c r="L375" s="26"/>
      <c r="M375" s="26"/>
      <c r="N375" s="26"/>
      <c r="O375" s="26"/>
      <c r="P375" s="15">
        <f>P376</f>
        <v>-11985.760000000009</v>
      </c>
      <c r="Q375" s="15"/>
      <c r="R375" s="15"/>
      <c r="S375" s="15"/>
      <c r="T375" s="15">
        <f>T376</f>
        <v>9441139.4000000004</v>
      </c>
      <c r="U375" s="15"/>
      <c r="V375" s="15"/>
      <c r="W375" s="15"/>
      <c r="X375" s="15"/>
      <c r="Y375" s="15">
        <f>Y376</f>
        <v>8235309.2599999998</v>
      </c>
      <c r="Z375" s="15"/>
      <c r="AA375" s="15"/>
      <c r="AB375" s="15"/>
      <c r="AC375" s="15"/>
      <c r="AD375" s="15">
        <f>AD376</f>
        <v>11168064.98</v>
      </c>
      <c r="AF375" s="30"/>
      <c r="AG375" s="30"/>
      <c r="AH375" s="30"/>
      <c r="AI375" s="30"/>
      <c r="AJ375" s="30"/>
      <c r="AK375" s="30"/>
      <c r="AL375" s="30"/>
    </row>
    <row r="376" spans="1:39" s="44" customFormat="1" ht="42" customHeight="1" x14ac:dyDescent="0.25">
      <c r="A376" s="3" t="s">
        <v>167</v>
      </c>
      <c r="B376" s="3" t="s">
        <v>167</v>
      </c>
      <c r="C376" s="19" t="s">
        <v>16</v>
      </c>
      <c r="D376" s="13">
        <v>4</v>
      </c>
      <c r="E376" s="13">
        <v>11</v>
      </c>
      <c r="F376" s="16"/>
      <c r="G376" s="17"/>
      <c r="H376" s="17"/>
      <c r="I376" s="15">
        <f>I377+I392</f>
        <v>9045365.6999999993</v>
      </c>
      <c r="J376" s="26"/>
      <c r="K376" s="26"/>
      <c r="L376" s="26"/>
      <c r="M376" s="26"/>
      <c r="N376" s="26"/>
      <c r="O376" s="26"/>
      <c r="P376" s="15">
        <f>P377+P392</f>
        <v>-11985.760000000009</v>
      </c>
      <c r="Q376" s="15"/>
      <c r="R376" s="15"/>
      <c r="S376" s="15"/>
      <c r="T376" s="15">
        <f>T377+T392</f>
        <v>9441139.4000000004</v>
      </c>
      <c r="U376" s="15"/>
      <c r="V376" s="15"/>
      <c r="W376" s="15"/>
      <c r="X376" s="15"/>
      <c r="Y376" s="15">
        <f>Y377+Y392</f>
        <v>8235309.2599999998</v>
      </c>
      <c r="Z376" s="15"/>
      <c r="AA376" s="15"/>
      <c r="AB376" s="15"/>
      <c r="AC376" s="15"/>
      <c r="AD376" s="15">
        <f>AD377+AD392</f>
        <v>11168064.98</v>
      </c>
      <c r="AF376" s="30"/>
      <c r="AG376" s="30"/>
      <c r="AH376" s="30"/>
      <c r="AI376" s="30">
        <f>AI377+AI378+AI379</f>
        <v>401909</v>
      </c>
      <c r="AJ376" s="30">
        <f>AJ377+AJ378+AJ379</f>
        <v>370181.24</v>
      </c>
      <c r="AK376" s="30">
        <f>AK377+AK378+AK379</f>
        <v>370181.24</v>
      </c>
      <c r="AL376" s="30"/>
    </row>
    <row r="377" spans="1:39" ht="30" customHeight="1" x14ac:dyDescent="0.25">
      <c r="A377" s="3" t="s">
        <v>20</v>
      </c>
      <c r="B377" s="3" t="s">
        <v>20</v>
      </c>
      <c r="C377" s="19" t="s">
        <v>16</v>
      </c>
      <c r="D377" s="13">
        <v>4</v>
      </c>
      <c r="E377" s="13">
        <v>11</v>
      </c>
      <c r="F377" s="13">
        <v>902</v>
      </c>
      <c r="G377" s="11"/>
      <c r="H377" s="21"/>
      <c r="I377" s="15">
        <f>I385+I378</f>
        <v>1581990.9</v>
      </c>
      <c r="J377" s="20"/>
      <c r="K377" s="20"/>
      <c r="L377" s="20"/>
      <c r="M377" s="20"/>
      <c r="N377" s="20"/>
      <c r="O377" s="20"/>
      <c r="P377" s="15">
        <f>P385+P378</f>
        <v>-11985.760000000009</v>
      </c>
      <c r="Q377" s="15"/>
      <c r="R377" s="15"/>
      <c r="S377" s="15"/>
      <c r="T377" s="15">
        <f>T385+T378</f>
        <v>1979797.14</v>
      </c>
      <c r="U377" s="15"/>
      <c r="V377" s="15"/>
      <c r="W377" s="15"/>
      <c r="X377" s="15"/>
      <c r="Y377" s="15">
        <f>Y385+Y378</f>
        <v>1375263.1400000001</v>
      </c>
      <c r="Z377" s="15"/>
      <c r="AA377" s="15"/>
      <c r="AB377" s="15"/>
      <c r="AC377" s="15"/>
      <c r="AD377" s="15">
        <f>AD385+AD378</f>
        <v>4308018.8600000003</v>
      </c>
      <c r="AI377" s="10">
        <v>129582.72</v>
      </c>
      <c r="AJ377" s="10">
        <v>97854.96</v>
      </c>
      <c r="AK377" s="10">
        <v>97854.96</v>
      </c>
      <c r="AL377" s="10">
        <v>902</v>
      </c>
      <c r="AM377" s="46">
        <v>612</v>
      </c>
    </row>
    <row r="378" spans="1:39" s="44" customFormat="1" ht="52.5" x14ac:dyDescent="0.25">
      <c r="A378" s="4" t="s">
        <v>168</v>
      </c>
      <c r="B378" s="49" t="s">
        <v>169</v>
      </c>
      <c r="C378" s="19" t="s">
        <v>16</v>
      </c>
      <c r="D378" s="13">
        <v>4</v>
      </c>
      <c r="E378" s="13">
        <v>11</v>
      </c>
      <c r="F378" s="13">
        <v>902</v>
      </c>
      <c r="G378" s="13">
        <v>81180</v>
      </c>
      <c r="H378" s="14"/>
      <c r="I378" s="15">
        <f>I379+I382</f>
        <v>948390.9</v>
      </c>
      <c r="J378" s="15"/>
      <c r="K378" s="15"/>
      <c r="L378" s="15"/>
      <c r="M378" s="15"/>
      <c r="N378" s="15"/>
      <c r="O378" s="15"/>
      <c r="P378" s="15">
        <f>P379+P382</f>
        <v>-224911.96000000002</v>
      </c>
      <c r="Q378" s="15"/>
      <c r="R378" s="15"/>
      <c r="S378" s="15"/>
      <c r="T378" s="15">
        <f>T379+T382</f>
        <v>723478.94</v>
      </c>
      <c r="U378" s="15"/>
      <c r="V378" s="15"/>
      <c r="W378" s="15"/>
      <c r="X378" s="15"/>
      <c r="Y378" s="15">
        <f>Y379+Y382</f>
        <v>741663.14</v>
      </c>
      <c r="Z378" s="15"/>
      <c r="AA378" s="15"/>
      <c r="AB378" s="15"/>
      <c r="AC378" s="15"/>
      <c r="AD378" s="15">
        <f>AD379+AD382</f>
        <v>3066736.8600000003</v>
      </c>
      <c r="AF378" s="30"/>
      <c r="AG378" s="30"/>
      <c r="AH378" s="30"/>
      <c r="AI378" s="30">
        <v>229400</v>
      </c>
      <c r="AJ378" s="30">
        <v>229400</v>
      </c>
      <c r="AK378" s="30">
        <v>229400</v>
      </c>
      <c r="AL378" s="30">
        <v>902</v>
      </c>
      <c r="AM378" s="44">
        <v>612</v>
      </c>
    </row>
    <row r="379" spans="1:39" ht="42.75" customHeight="1" x14ac:dyDescent="0.25">
      <c r="A379" s="5" t="s">
        <v>26</v>
      </c>
      <c r="B379" s="5" t="s">
        <v>26</v>
      </c>
      <c r="C379" s="2" t="s">
        <v>16</v>
      </c>
      <c r="D379" s="11">
        <v>4</v>
      </c>
      <c r="E379" s="11">
        <v>11</v>
      </c>
      <c r="F379" s="11">
        <v>902</v>
      </c>
      <c r="G379" s="11">
        <v>81180</v>
      </c>
      <c r="H379" s="21">
        <v>200</v>
      </c>
      <c r="I379" s="20">
        <f t="shared" ref="I379:AD380" si="70">I380</f>
        <v>546481.9</v>
      </c>
      <c r="J379" s="20"/>
      <c r="K379" s="20"/>
      <c r="L379" s="20"/>
      <c r="M379" s="20"/>
      <c r="N379" s="20"/>
      <c r="O379" s="20"/>
      <c r="P379" s="20">
        <f t="shared" si="70"/>
        <v>-212926.2</v>
      </c>
      <c r="Q379" s="20"/>
      <c r="R379" s="20"/>
      <c r="S379" s="20"/>
      <c r="T379" s="20">
        <f t="shared" si="70"/>
        <v>333555.7</v>
      </c>
      <c r="U379" s="20"/>
      <c r="V379" s="20"/>
      <c r="W379" s="20"/>
      <c r="X379" s="20"/>
      <c r="Y379" s="20">
        <f t="shared" si="70"/>
        <v>371481.9</v>
      </c>
      <c r="Z379" s="20"/>
      <c r="AA379" s="20"/>
      <c r="AB379" s="20"/>
      <c r="AC379" s="20"/>
      <c r="AD379" s="20">
        <f t="shared" si="70"/>
        <v>2696555.62</v>
      </c>
      <c r="AI379" s="10">
        <v>42926.28</v>
      </c>
      <c r="AJ379" s="10">
        <v>42926.28</v>
      </c>
      <c r="AK379" s="10">
        <v>42926.28</v>
      </c>
      <c r="AL379" s="10">
        <v>902</v>
      </c>
      <c r="AM379" s="46">
        <v>612</v>
      </c>
    </row>
    <row r="380" spans="1:39" ht="33.75" x14ac:dyDescent="0.25">
      <c r="A380" s="5" t="s">
        <v>28</v>
      </c>
      <c r="B380" s="5" t="s">
        <v>28</v>
      </c>
      <c r="C380" s="2" t="s">
        <v>16</v>
      </c>
      <c r="D380" s="11">
        <v>4</v>
      </c>
      <c r="E380" s="11">
        <v>11</v>
      </c>
      <c r="F380" s="11">
        <v>902</v>
      </c>
      <c r="G380" s="11">
        <v>81180</v>
      </c>
      <c r="H380" s="21">
        <v>240</v>
      </c>
      <c r="I380" s="20">
        <f t="shared" si="70"/>
        <v>546481.9</v>
      </c>
      <c r="J380" s="20"/>
      <c r="K380" s="20"/>
      <c r="L380" s="20"/>
      <c r="M380" s="20"/>
      <c r="N380" s="20"/>
      <c r="O380" s="20"/>
      <c r="P380" s="20">
        <f t="shared" si="70"/>
        <v>-212926.2</v>
      </c>
      <c r="Q380" s="20"/>
      <c r="R380" s="20"/>
      <c r="S380" s="20"/>
      <c r="T380" s="20">
        <f t="shared" si="70"/>
        <v>333555.7</v>
      </c>
      <c r="U380" s="20"/>
      <c r="V380" s="20"/>
      <c r="W380" s="20"/>
      <c r="X380" s="20"/>
      <c r="Y380" s="20">
        <f t="shared" si="70"/>
        <v>371481.9</v>
      </c>
      <c r="Z380" s="20"/>
      <c r="AA380" s="20"/>
      <c r="AB380" s="20"/>
      <c r="AC380" s="20"/>
      <c r="AD380" s="20">
        <f t="shared" si="70"/>
        <v>2696555.62</v>
      </c>
      <c r="AI380" s="10">
        <v>460616.08</v>
      </c>
      <c r="AJ380" s="10">
        <v>460616.08</v>
      </c>
      <c r="AK380" s="10">
        <v>460616.08</v>
      </c>
      <c r="AL380" s="10">
        <v>921</v>
      </c>
      <c r="AM380" s="46">
        <v>612</v>
      </c>
    </row>
    <row r="381" spans="1:39" ht="33.75" x14ac:dyDescent="0.25">
      <c r="A381" s="5" t="s">
        <v>30</v>
      </c>
      <c r="B381" s="5" t="s">
        <v>30</v>
      </c>
      <c r="C381" s="2" t="s">
        <v>16</v>
      </c>
      <c r="D381" s="11">
        <v>4</v>
      </c>
      <c r="E381" s="11">
        <v>11</v>
      </c>
      <c r="F381" s="11">
        <v>902</v>
      </c>
      <c r="G381" s="11">
        <v>81180</v>
      </c>
      <c r="H381" s="21">
        <v>244</v>
      </c>
      <c r="I381" s="20">
        <v>546481.9</v>
      </c>
      <c r="J381" s="20"/>
      <c r="K381" s="20"/>
      <c r="L381" s="20"/>
      <c r="M381" s="20"/>
      <c r="N381" s="20"/>
      <c r="O381" s="20"/>
      <c r="P381" s="20">
        <v>-212926.2</v>
      </c>
      <c r="Q381" s="20"/>
      <c r="R381" s="20"/>
      <c r="S381" s="20"/>
      <c r="T381" s="20">
        <f>546481.9+P381</f>
        <v>333555.7</v>
      </c>
      <c r="U381" s="20"/>
      <c r="V381" s="20"/>
      <c r="W381" s="20"/>
      <c r="X381" s="20"/>
      <c r="Y381" s="20">
        <v>371481.9</v>
      </c>
      <c r="Z381" s="20"/>
      <c r="AA381" s="20"/>
      <c r="AB381" s="20"/>
      <c r="AC381" s="20"/>
      <c r="AD381" s="20">
        <v>2696555.62</v>
      </c>
      <c r="AI381" s="10">
        <v>6225903</v>
      </c>
      <c r="AJ381" s="10">
        <v>6225903</v>
      </c>
      <c r="AK381" s="10">
        <v>6225903</v>
      </c>
      <c r="AL381" s="10">
        <v>921</v>
      </c>
      <c r="AM381" s="46">
        <v>612</v>
      </c>
    </row>
    <row r="382" spans="1:39" ht="22.5" x14ac:dyDescent="0.25">
      <c r="A382" s="5"/>
      <c r="B382" s="5" t="s">
        <v>34</v>
      </c>
      <c r="C382" s="2" t="s">
        <v>16</v>
      </c>
      <c r="D382" s="11">
        <v>4</v>
      </c>
      <c r="E382" s="11">
        <v>11</v>
      </c>
      <c r="F382" s="11">
        <v>902</v>
      </c>
      <c r="G382" s="11">
        <v>81180</v>
      </c>
      <c r="H382" s="21">
        <v>600</v>
      </c>
      <c r="I382" s="20">
        <f t="shared" ref="I382:AD383" si="71">I383</f>
        <v>401909</v>
      </c>
      <c r="J382" s="20"/>
      <c r="K382" s="20"/>
      <c r="L382" s="20"/>
      <c r="M382" s="20"/>
      <c r="N382" s="20"/>
      <c r="O382" s="20"/>
      <c r="P382" s="20">
        <f t="shared" si="71"/>
        <v>-11985.76</v>
      </c>
      <c r="Q382" s="20"/>
      <c r="R382" s="20"/>
      <c r="S382" s="20"/>
      <c r="T382" s="20">
        <f t="shared" si="71"/>
        <v>389923.24</v>
      </c>
      <c r="U382" s="20"/>
      <c r="V382" s="20"/>
      <c r="W382" s="20"/>
      <c r="X382" s="20"/>
      <c r="Y382" s="20">
        <f t="shared" si="71"/>
        <v>370181.24</v>
      </c>
      <c r="Z382" s="20"/>
      <c r="AA382" s="20"/>
      <c r="AB382" s="20"/>
      <c r="AC382" s="20"/>
      <c r="AD382" s="20">
        <f t="shared" si="71"/>
        <v>370181.24</v>
      </c>
      <c r="AI382" s="10">
        <v>757641.12</v>
      </c>
      <c r="AJ382" s="10">
        <v>159312.44</v>
      </c>
      <c r="AK382" s="10">
        <v>159312.44</v>
      </c>
      <c r="AL382" s="10">
        <v>921</v>
      </c>
      <c r="AM382" s="46">
        <v>612</v>
      </c>
    </row>
    <row r="383" spans="1:39" x14ac:dyDescent="0.25">
      <c r="A383" s="5"/>
      <c r="B383" s="5" t="s">
        <v>36</v>
      </c>
      <c r="C383" s="2" t="s">
        <v>16</v>
      </c>
      <c r="D383" s="11">
        <v>4</v>
      </c>
      <c r="E383" s="11">
        <v>11</v>
      </c>
      <c r="F383" s="11">
        <v>902</v>
      </c>
      <c r="G383" s="11">
        <v>81180</v>
      </c>
      <c r="H383" s="21">
        <v>610</v>
      </c>
      <c r="I383" s="20">
        <f t="shared" si="71"/>
        <v>401909</v>
      </c>
      <c r="J383" s="20"/>
      <c r="K383" s="20"/>
      <c r="L383" s="20"/>
      <c r="M383" s="20"/>
      <c r="N383" s="20"/>
      <c r="O383" s="20"/>
      <c r="P383" s="20">
        <f t="shared" si="71"/>
        <v>-11985.76</v>
      </c>
      <c r="Q383" s="20"/>
      <c r="R383" s="20"/>
      <c r="S383" s="20"/>
      <c r="T383" s="20">
        <f t="shared" si="71"/>
        <v>389923.24</v>
      </c>
      <c r="U383" s="20"/>
      <c r="V383" s="20"/>
      <c r="W383" s="20"/>
      <c r="X383" s="20"/>
      <c r="Y383" s="20">
        <f t="shared" si="71"/>
        <v>370181.24</v>
      </c>
      <c r="Z383" s="20"/>
      <c r="AA383" s="20"/>
      <c r="AB383" s="20"/>
      <c r="AC383" s="20"/>
      <c r="AD383" s="20">
        <f t="shared" si="71"/>
        <v>370181.24</v>
      </c>
      <c r="AF383" s="10">
        <v>97854.96</v>
      </c>
      <c r="AG383" s="10">
        <v>97854.96</v>
      </c>
      <c r="AH383" s="10">
        <v>97854.96</v>
      </c>
      <c r="AI383" s="10">
        <v>19214.599999999999</v>
      </c>
      <c r="AJ383" s="10">
        <v>14214.6</v>
      </c>
      <c r="AK383" s="10">
        <v>14214.6</v>
      </c>
      <c r="AL383" s="10">
        <v>921</v>
      </c>
      <c r="AM383" s="46">
        <v>612</v>
      </c>
    </row>
    <row r="384" spans="1:39" x14ac:dyDescent="0.25">
      <c r="A384" s="5"/>
      <c r="B384" s="5" t="s">
        <v>108</v>
      </c>
      <c r="C384" s="2" t="s">
        <v>16</v>
      </c>
      <c r="D384" s="11">
        <v>4</v>
      </c>
      <c r="E384" s="11">
        <v>11</v>
      </c>
      <c r="F384" s="11">
        <v>902</v>
      </c>
      <c r="G384" s="11">
        <v>81180</v>
      </c>
      <c r="H384" s="21">
        <v>612</v>
      </c>
      <c r="I384" s="20">
        <v>401909</v>
      </c>
      <c r="J384" s="20"/>
      <c r="K384" s="20"/>
      <c r="L384" s="20"/>
      <c r="M384" s="20"/>
      <c r="N384" s="20"/>
      <c r="O384" s="20"/>
      <c r="P384" s="20">
        <v>-11985.76</v>
      </c>
      <c r="Q384" s="20"/>
      <c r="R384" s="20"/>
      <c r="S384" s="20">
        <v>0</v>
      </c>
      <c r="T384" s="20">
        <f>401909+P384+S384</f>
        <v>389923.24</v>
      </c>
      <c r="U384" s="20"/>
      <c r="V384" s="20"/>
      <c r="W384" s="20"/>
      <c r="X384" s="20"/>
      <c r="Y384" s="20">
        <v>370181.24</v>
      </c>
      <c r="Z384" s="20"/>
      <c r="AA384" s="20"/>
      <c r="AB384" s="20"/>
      <c r="AC384" s="20"/>
      <c r="AD384" s="20">
        <v>370181.24</v>
      </c>
      <c r="AF384" s="10">
        <v>8400</v>
      </c>
      <c r="AG384" s="10">
        <v>8400</v>
      </c>
      <c r="AH384" s="10">
        <v>8400</v>
      </c>
      <c r="AI384" s="10">
        <f>SUM(AI380:AI383)</f>
        <v>7463374.7999999998</v>
      </c>
      <c r="AJ384" s="10">
        <f>SUM(AJ380:AJ383)</f>
        <v>6860046.1200000001</v>
      </c>
      <c r="AK384" s="10">
        <f>SUM(AK380:AK383)</f>
        <v>6860046.1200000001</v>
      </c>
    </row>
    <row r="385" spans="1:38" s="44" customFormat="1" ht="46.5" customHeight="1" x14ac:dyDescent="0.25">
      <c r="A385" s="3" t="s">
        <v>170</v>
      </c>
      <c r="B385" s="49" t="s">
        <v>171</v>
      </c>
      <c r="C385" s="19" t="s">
        <v>16</v>
      </c>
      <c r="D385" s="13">
        <v>4</v>
      </c>
      <c r="E385" s="13">
        <v>11</v>
      </c>
      <c r="F385" s="13">
        <v>902</v>
      </c>
      <c r="G385" s="13">
        <v>81130</v>
      </c>
      <c r="H385" s="14"/>
      <c r="I385" s="15">
        <f>I389+I386</f>
        <v>633600</v>
      </c>
      <c r="J385" s="15"/>
      <c r="K385" s="15"/>
      <c r="L385" s="15"/>
      <c r="M385" s="15"/>
      <c r="N385" s="15"/>
      <c r="O385" s="15"/>
      <c r="P385" s="15">
        <f>P389+P386</f>
        <v>212926.2</v>
      </c>
      <c r="Q385" s="15"/>
      <c r="R385" s="15"/>
      <c r="S385" s="15"/>
      <c r="T385" s="15">
        <f>T389+T386</f>
        <v>1256318.2</v>
      </c>
      <c r="U385" s="15"/>
      <c r="V385" s="15"/>
      <c r="W385" s="15"/>
      <c r="X385" s="15"/>
      <c r="Y385" s="15">
        <f>Y389+Y386</f>
        <v>633600</v>
      </c>
      <c r="Z385" s="15"/>
      <c r="AA385" s="15"/>
      <c r="AB385" s="15"/>
      <c r="AC385" s="15"/>
      <c r="AD385" s="15">
        <f>AD389+AD386</f>
        <v>1241282</v>
      </c>
      <c r="AF385" s="30">
        <f>SUM(AF383:AF384)</f>
        <v>106254.96</v>
      </c>
      <c r="AG385" s="30">
        <f>SUM(AG383:AG384)</f>
        <v>106254.96</v>
      </c>
      <c r="AH385" s="30">
        <f>SUM(AH383:AH384)</f>
        <v>106254.96</v>
      </c>
      <c r="AI385" s="30">
        <f>AI380+AI381+AI382+AI383</f>
        <v>7463374.7999999998</v>
      </c>
      <c r="AJ385" s="30">
        <f>AJ380+AJ381+AJ382+AJ383</f>
        <v>6860046.1200000001</v>
      </c>
      <c r="AK385" s="30">
        <f>AK380+AK381+AK382+AK383</f>
        <v>6860046.1200000001</v>
      </c>
      <c r="AL385" s="30"/>
    </row>
    <row r="386" spans="1:38" s="44" customFormat="1" ht="81" customHeight="1" x14ac:dyDescent="0.25">
      <c r="A386" s="3"/>
      <c r="B386" s="5" t="s">
        <v>22</v>
      </c>
      <c r="C386" s="2" t="s">
        <v>16</v>
      </c>
      <c r="D386" s="11">
        <v>4</v>
      </c>
      <c r="E386" s="11">
        <v>11</v>
      </c>
      <c r="F386" s="11">
        <v>902</v>
      </c>
      <c r="G386" s="11">
        <v>81130</v>
      </c>
      <c r="H386" s="21">
        <v>100</v>
      </c>
      <c r="I386" s="20">
        <f t="shared" ref="I386:AD387" si="72">I387</f>
        <v>100000</v>
      </c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>
        <f t="shared" si="72"/>
        <v>100000</v>
      </c>
      <c r="U386" s="20"/>
      <c r="V386" s="20"/>
      <c r="W386" s="20"/>
      <c r="X386" s="20"/>
      <c r="Y386" s="20">
        <f t="shared" si="72"/>
        <v>100000</v>
      </c>
      <c r="Z386" s="20"/>
      <c r="AA386" s="20"/>
      <c r="AB386" s="20"/>
      <c r="AC386" s="20"/>
      <c r="AD386" s="20">
        <f t="shared" si="72"/>
        <v>100000</v>
      </c>
      <c r="AF386" s="30"/>
      <c r="AG386" s="30"/>
      <c r="AH386" s="30"/>
      <c r="AI386" s="30"/>
      <c r="AJ386" s="30"/>
      <c r="AK386" s="30"/>
      <c r="AL386" s="30"/>
    </row>
    <row r="387" spans="1:38" s="44" customFormat="1" ht="46.5" customHeight="1" x14ac:dyDescent="0.25">
      <c r="A387" s="3"/>
      <c r="B387" s="5" t="s">
        <v>23</v>
      </c>
      <c r="C387" s="2" t="s">
        <v>16</v>
      </c>
      <c r="D387" s="11">
        <v>4</v>
      </c>
      <c r="E387" s="11">
        <v>11</v>
      </c>
      <c r="F387" s="11">
        <v>902</v>
      </c>
      <c r="G387" s="11">
        <v>81130</v>
      </c>
      <c r="H387" s="21">
        <v>120</v>
      </c>
      <c r="I387" s="20">
        <f t="shared" si="72"/>
        <v>100000</v>
      </c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>
        <f t="shared" si="72"/>
        <v>100000</v>
      </c>
      <c r="U387" s="20"/>
      <c r="V387" s="20"/>
      <c r="W387" s="20"/>
      <c r="X387" s="20"/>
      <c r="Y387" s="20">
        <f t="shared" si="72"/>
        <v>100000</v>
      </c>
      <c r="Z387" s="20"/>
      <c r="AA387" s="20"/>
      <c r="AB387" s="20"/>
      <c r="AC387" s="20"/>
      <c r="AD387" s="20">
        <f t="shared" si="72"/>
        <v>100000</v>
      </c>
      <c r="AF387" s="30"/>
      <c r="AG387" s="30"/>
      <c r="AH387" s="30"/>
      <c r="AI387" s="30"/>
      <c r="AJ387" s="30"/>
      <c r="AK387" s="30"/>
      <c r="AL387" s="30"/>
    </row>
    <row r="388" spans="1:38" s="44" customFormat="1" ht="87.75" customHeight="1" x14ac:dyDescent="0.25">
      <c r="A388" s="3"/>
      <c r="B388" s="37" t="s">
        <v>172</v>
      </c>
      <c r="C388" s="2" t="s">
        <v>16</v>
      </c>
      <c r="D388" s="11">
        <v>4</v>
      </c>
      <c r="E388" s="11">
        <v>11</v>
      </c>
      <c r="F388" s="11">
        <v>902</v>
      </c>
      <c r="G388" s="11">
        <v>81130</v>
      </c>
      <c r="H388" s="21">
        <v>123</v>
      </c>
      <c r="I388" s="20">
        <v>100000</v>
      </c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>
        <v>100000</v>
      </c>
      <c r="U388" s="20"/>
      <c r="V388" s="20"/>
      <c r="W388" s="20"/>
      <c r="X388" s="20"/>
      <c r="Y388" s="15">
        <v>100000</v>
      </c>
      <c r="Z388" s="15"/>
      <c r="AA388" s="15"/>
      <c r="AB388" s="15"/>
      <c r="AC388" s="15"/>
      <c r="AD388" s="15">
        <v>100000</v>
      </c>
      <c r="AF388" s="30"/>
      <c r="AG388" s="30"/>
      <c r="AH388" s="30"/>
      <c r="AI388" s="30"/>
      <c r="AJ388" s="30"/>
      <c r="AK388" s="30"/>
      <c r="AL388" s="30"/>
    </row>
    <row r="389" spans="1:38" ht="22.5" x14ac:dyDescent="0.25">
      <c r="A389" s="5" t="s">
        <v>26</v>
      </c>
      <c r="B389" s="5" t="s">
        <v>26</v>
      </c>
      <c r="C389" s="2" t="s">
        <v>16</v>
      </c>
      <c r="D389" s="11">
        <v>4</v>
      </c>
      <c r="E389" s="11">
        <v>11</v>
      </c>
      <c r="F389" s="11">
        <v>902</v>
      </c>
      <c r="G389" s="11">
        <v>81130</v>
      </c>
      <c r="H389" s="21">
        <v>200</v>
      </c>
      <c r="I389" s="20">
        <f t="shared" ref="I389:AD390" si="73">I390</f>
        <v>533600</v>
      </c>
      <c r="J389" s="20"/>
      <c r="K389" s="20"/>
      <c r="L389" s="20"/>
      <c r="M389" s="20"/>
      <c r="N389" s="20"/>
      <c r="O389" s="20"/>
      <c r="P389" s="20">
        <f t="shared" si="73"/>
        <v>212926.2</v>
      </c>
      <c r="Q389" s="20"/>
      <c r="R389" s="20"/>
      <c r="S389" s="20"/>
      <c r="T389" s="20">
        <f t="shared" si="73"/>
        <v>1156318.2</v>
      </c>
      <c r="U389" s="20"/>
      <c r="V389" s="20"/>
      <c r="W389" s="20"/>
      <c r="X389" s="20"/>
      <c r="Y389" s="20">
        <f t="shared" si="73"/>
        <v>533600</v>
      </c>
      <c r="Z389" s="20"/>
      <c r="AA389" s="20"/>
      <c r="AB389" s="20"/>
      <c r="AC389" s="20"/>
      <c r="AD389" s="20">
        <f t="shared" si="73"/>
        <v>1141282</v>
      </c>
    </row>
    <row r="390" spans="1:38" ht="33.75" x14ac:dyDescent="0.25">
      <c r="A390" s="5" t="s">
        <v>28</v>
      </c>
      <c r="B390" s="5" t="s">
        <v>28</v>
      </c>
      <c r="C390" s="2" t="s">
        <v>16</v>
      </c>
      <c r="D390" s="11">
        <v>4</v>
      </c>
      <c r="E390" s="11">
        <v>11</v>
      </c>
      <c r="F390" s="11">
        <v>902</v>
      </c>
      <c r="G390" s="11">
        <v>81130</v>
      </c>
      <c r="H390" s="21">
        <v>240</v>
      </c>
      <c r="I390" s="20">
        <f t="shared" si="73"/>
        <v>533600</v>
      </c>
      <c r="J390" s="20"/>
      <c r="K390" s="20"/>
      <c r="L390" s="20"/>
      <c r="M390" s="20"/>
      <c r="N390" s="20"/>
      <c r="O390" s="20"/>
      <c r="P390" s="20">
        <f t="shared" si="73"/>
        <v>212926.2</v>
      </c>
      <c r="Q390" s="20"/>
      <c r="R390" s="20"/>
      <c r="S390" s="20"/>
      <c r="T390" s="20">
        <f t="shared" si="73"/>
        <v>1156318.2</v>
      </c>
      <c r="U390" s="20"/>
      <c r="V390" s="20"/>
      <c r="W390" s="20"/>
      <c r="X390" s="20"/>
      <c r="Y390" s="20">
        <f t="shared" si="73"/>
        <v>533600</v>
      </c>
      <c r="Z390" s="20"/>
      <c r="AA390" s="20"/>
      <c r="AB390" s="20"/>
      <c r="AC390" s="20"/>
      <c r="AD390" s="20">
        <f t="shared" si="73"/>
        <v>1141282</v>
      </c>
    </row>
    <row r="391" spans="1:38" ht="33.75" x14ac:dyDescent="0.25">
      <c r="A391" s="5" t="s">
        <v>30</v>
      </c>
      <c r="B391" s="5" t="s">
        <v>30</v>
      </c>
      <c r="C391" s="2" t="s">
        <v>16</v>
      </c>
      <c r="D391" s="11">
        <v>4</v>
      </c>
      <c r="E391" s="11">
        <v>11</v>
      </c>
      <c r="F391" s="11">
        <v>902</v>
      </c>
      <c r="G391" s="11">
        <v>81130</v>
      </c>
      <c r="H391" s="21">
        <v>244</v>
      </c>
      <c r="I391" s="20">
        <v>533600</v>
      </c>
      <c r="J391" s="20"/>
      <c r="K391" s="20"/>
      <c r="L391" s="20"/>
      <c r="M391" s="20"/>
      <c r="N391" s="20"/>
      <c r="O391" s="20"/>
      <c r="P391" s="20">
        <v>212926.2</v>
      </c>
      <c r="Q391" s="20"/>
      <c r="R391" s="20"/>
      <c r="S391" s="20">
        <v>409792</v>
      </c>
      <c r="T391" s="20">
        <f>533600+P391+S391</f>
        <v>1156318.2</v>
      </c>
      <c r="U391" s="20"/>
      <c r="V391" s="20"/>
      <c r="W391" s="20"/>
      <c r="X391" s="20"/>
      <c r="Y391" s="20">
        <v>533600</v>
      </c>
      <c r="Z391" s="20"/>
      <c r="AA391" s="20"/>
      <c r="AB391" s="20"/>
      <c r="AC391" s="20"/>
      <c r="AD391" s="20">
        <v>1141282</v>
      </c>
    </row>
    <row r="392" spans="1:38" ht="21" x14ac:dyDescent="0.25">
      <c r="A392" s="3" t="s">
        <v>173</v>
      </c>
      <c r="B392" s="3" t="s">
        <v>173</v>
      </c>
      <c r="C392" s="19" t="s">
        <v>16</v>
      </c>
      <c r="D392" s="13">
        <v>4</v>
      </c>
      <c r="E392" s="13">
        <v>11</v>
      </c>
      <c r="F392" s="13">
        <v>921</v>
      </c>
      <c r="G392" s="13"/>
      <c r="H392" s="14"/>
      <c r="I392" s="15">
        <f t="shared" ref="I392:AD395" si="74">I393</f>
        <v>7463374.7999999998</v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>
        <f t="shared" si="74"/>
        <v>7461342.2599999998</v>
      </c>
      <c r="U392" s="15"/>
      <c r="V392" s="15"/>
      <c r="W392" s="15"/>
      <c r="X392" s="15"/>
      <c r="Y392" s="15">
        <f t="shared" si="74"/>
        <v>6860046.1200000001</v>
      </c>
      <c r="Z392" s="15"/>
      <c r="AA392" s="15"/>
      <c r="AB392" s="15"/>
      <c r="AC392" s="15"/>
      <c r="AD392" s="15">
        <f t="shared" si="74"/>
        <v>6860046.1200000001</v>
      </c>
    </row>
    <row r="393" spans="1:38" s="44" customFormat="1" ht="88.5" customHeight="1" x14ac:dyDescent="0.25">
      <c r="A393" s="4" t="s">
        <v>168</v>
      </c>
      <c r="B393" s="49" t="s">
        <v>169</v>
      </c>
      <c r="C393" s="19" t="s">
        <v>16</v>
      </c>
      <c r="D393" s="13">
        <v>4</v>
      </c>
      <c r="E393" s="13">
        <v>11</v>
      </c>
      <c r="F393" s="13">
        <v>921</v>
      </c>
      <c r="G393" s="13">
        <v>81180</v>
      </c>
      <c r="H393" s="14"/>
      <c r="I393" s="15">
        <f t="shared" si="74"/>
        <v>7463374.7999999998</v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>
        <f t="shared" si="74"/>
        <v>7461342.2599999998</v>
      </c>
      <c r="U393" s="15"/>
      <c r="V393" s="15"/>
      <c r="W393" s="15"/>
      <c r="X393" s="15"/>
      <c r="Y393" s="15">
        <f t="shared" si="74"/>
        <v>6860046.1200000001</v>
      </c>
      <c r="Z393" s="15"/>
      <c r="AA393" s="15"/>
      <c r="AB393" s="15"/>
      <c r="AC393" s="15"/>
      <c r="AD393" s="15">
        <f t="shared" si="74"/>
        <v>6860046.1200000001</v>
      </c>
      <c r="AF393" s="30"/>
      <c r="AG393" s="30"/>
      <c r="AH393" s="30"/>
      <c r="AI393" s="30"/>
      <c r="AJ393" s="30"/>
      <c r="AK393" s="30"/>
      <c r="AL393" s="30"/>
    </row>
    <row r="394" spans="1:38" ht="33.75" x14ac:dyDescent="0.25">
      <c r="A394" s="5" t="s">
        <v>34</v>
      </c>
      <c r="B394" s="5" t="s">
        <v>34</v>
      </c>
      <c r="C394" s="2" t="s">
        <v>16</v>
      </c>
      <c r="D394" s="11">
        <v>4</v>
      </c>
      <c r="E394" s="11">
        <v>11</v>
      </c>
      <c r="F394" s="11">
        <v>921</v>
      </c>
      <c r="G394" s="11">
        <v>81180</v>
      </c>
      <c r="H394" s="21">
        <v>600</v>
      </c>
      <c r="I394" s="20">
        <f t="shared" si="74"/>
        <v>7463374.7999999998</v>
      </c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>
        <f t="shared" si="74"/>
        <v>7461342.2599999998</v>
      </c>
      <c r="U394" s="20"/>
      <c r="V394" s="20"/>
      <c r="W394" s="20"/>
      <c r="X394" s="20"/>
      <c r="Y394" s="20">
        <f t="shared" si="74"/>
        <v>6860046.1200000001</v>
      </c>
      <c r="Z394" s="20"/>
      <c r="AA394" s="20"/>
      <c r="AB394" s="20"/>
      <c r="AC394" s="20"/>
      <c r="AD394" s="20">
        <f t="shared" si="74"/>
        <v>6860046.1200000001</v>
      </c>
      <c r="AF394" s="10">
        <f>AF395+AF396+AF397</f>
        <v>958255.8</v>
      </c>
      <c r="AG394" s="10">
        <f>AG395+AG396+AG397</f>
        <v>958255.8</v>
      </c>
      <c r="AH394" s="10">
        <f>AH395+AH396+AH397</f>
        <v>958255.8</v>
      </c>
    </row>
    <row r="395" spans="1:38" x14ac:dyDescent="0.25">
      <c r="A395" s="5" t="s">
        <v>36</v>
      </c>
      <c r="B395" s="5" t="s">
        <v>36</v>
      </c>
      <c r="C395" s="2" t="s">
        <v>16</v>
      </c>
      <c r="D395" s="11">
        <v>4</v>
      </c>
      <c r="E395" s="11">
        <v>11</v>
      </c>
      <c r="F395" s="11">
        <v>921</v>
      </c>
      <c r="G395" s="11">
        <v>81180</v>
      </c>
      <c r="H395" s="21">
        <v>610</v>
      </c>
      <c r="I395" s="20">
        <f t="shared" si="74"/>
        <v>7463374.7999999998</v>
      </c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>
        <f t="shared" si="74"/>
        <v>7461342.2599999998</v>
      </c>
      <c r="U395" s="20"/>
      <c r="V395" s="20"/>
      <c r="W395" s="20"/>
      <c r="X395" s="20"/>
      <c r="Y395" s="20">
        <f t="shared" si="74"/>
        <v>6860046.1200000001</v>
      </c>
      <c r="Z395" s="20"/>
      <c r="AA395" s="20"/>
      <c r="AB395" s="20"/>
      <c r="AC395" s="20"/>
      <c r="AD395" s="20">
        <f t="shared" si="74"/>
        <v>6860046.1200000001</v>
      </c>
      <c r="AF395" s="10">
        <v>154479.29</v>
      </c>
      <c r="AG395" s="10">
        <v>154479.29</v>
      </c>
      <c r="AH395" s="10">
        <v>154479.29</v>
      </c>
    </row>
    <row r="396" spans="1:38" x14ac:dyDescent="0.25">
      <c r="A396" s="5" t="s">
        <v>108</v>
      </c>
      <c r="B396" s="5" t="s">
        <v>108</v>
      </c>
      <c r="C396" s="2" t="s">
        <v>16</v>
      </c>
      <c r="D396" s="11">
        <v>4</v>
      </c>
      <c r="E396" s="11">
        <v>11</v>
      </c>
      <c r="F396" s="11">
        <v>921</v>
      </c>
      <c r="G396" s="11">
        <v>81180</v>
      </c>
      <c r="H396" s="21">
        <v>612</v>
      </c>
      <c r="I396" s="20">
        <v>7463374.7999999998</v>
      </c>
      <c r="J396" s="20"/>
      <c r="K396" s="20"/>
      <c r="L396" s="20"/>
      <c r="M396" s="20"/>
      <c r="N396" s="20"/>
      <c r="O396" s="20"/>
      <c r="P396" s="20"/>
      <c r="Q396" s="20"/>
      <c r="R396" s="20"/>
      <c r="S396" s="20">
        <v>-2032.54</v>
      </c>
      <c r="T396" s="20">
        <f>7463374.8+S396</f>
        <v>7461342.2599999998</v>
      </c>
      <c r="U396" s="20"/>
      <c r="V396" s="20"/>
      <c r="W396" s="20"/>
      <c r="X396" s="20"/>
      <c r="Y396" s="20">
        <v>6860046.1200000001</v>
      </c>
      <c r="Z396" s="20"/>
      <c r="AA396" s="20"/>
      <c r="AB396" s="20"/>
      <c r="AC396" s="20"/>
      <c r="AD396" s="20">
        <v>6860046.1200000001</v>
      </c>
      <c r="AF396" s="10">
        <v>345170.64</v>
      </c>
      <c r="AG396" s="10">
        <v>345170.64</v>
      </c>
      <c r="AH396" s="10">
        <v>345170.64</v>
      </c>
      <c r="AI396" s="20">
        <v>229400</v>
      </c>
      <c r="AJ396" s="20">
        <v>229400</v>
      </c>
      <c r="AK396" s="20">
        <v>229400</v>
      </c>
    </row>
    <row r="397" spans="1:38" ht="42" x14ac:dyDescent="0.25">
      <c r="A397" s="3" t="s">
        <v>174</v>
      </c>
      <c r="B397" s="3" t="s">
        <v>175</v>
      </c>
      <c r="C397" s="13" t="s">
        <v>176</v>
      </c>
      <c r="D397" s="13"/>
      <c r="E397" s="13"/>
      <c r="F397" s="13"/>
      <c r="G397" s="13"/>
      <c r="H397" s="14"/>
      <c r="I397" s="15">
        <f t="shared" ref="I397:AD398" si="75">I398</f>
        <v>9240147.9400000013</v>
      </c>
      <c r="J397" s="15"/>
      <c r="K397" s="15">
        <f t="shared" si="75"/>
        <v>14400</v>
      </c>
      <c r="L397" s="15">
        <f t="shared" si="75"/>
        <v>-117765.9</v>
      </c>
      <c r="M397" s="15">
        <f t="shared" si="75"/>
        <v>261312.5</v>
      </c>
      <c r="N397" s="15"/>
      <c r="O397" s="15">
        <f t="shared" si="75"/>
        <v>0</v>
      </c>
      <c r="P397" s="15">
        <f t="shared" si="75"/>
        <v>40000</v>
      </c>
      <c r="Q397" s="15"/>
      <c r="R397" s="15"/>
      <c r="S397" s="15"/>
      <c r="T397" s="15">
        <f t="shared" si="75"/>
        <v>9438094.540000001</v>
      </c>
      <c r="U397" s="15"/>
      <c r="V397" s="15"/>
      <c r="W397" s="15"/>
      <c r="X397" s="15"/>
      <c r="Y397" s="15">
        <f t="shared" si="75"/>
        <v>9517472.8000000007</v>
      </c>
      <c r="Z397" s="15"/>
      <c r="AA397" s="15"/>
      <c r="AB397" s="15"/>
      <c r="AC397" s="15"/>
      <c r="AD397" s="15">
        <f t="shared" si="75"/>
        <v>9783758.7300000004</v>
      </c>
      <c r="AF397" s="10">
        <v>458605.87</v>
      </c>
      <c r="AG397" s="10">
        <v>458605.87</v>
      </c>
      <c r="AH397" s="10">
        <v>458605.87</v>
      </c>
      <c r="AI397" s="10">
        <v>129582.72</v>
      </c>
      <c r="AJ397" s="10">
        <v>97854.96</v>
      </c>
      <c r="AK397" s="10">
        <v>97854.96</v>
      </c>
    </row>
    <row r="398" spans="1:38" ht="60" customHeight="1" x14ac:dyDescent="0.25">
      <c r="A398" s="3" t="s">
        <v>177</v>
      </c>
      <c r="B398" s="3" t="s">
        <v>177</v>
      </c>
      <c r="C398" s="13" t="s">
        <v>176</v>
      </c>
      <c r="D398" s="13">
        <v>0</v>
      </c>
      <c r="E398" s="13">
        <v>11</v>
      </c>
      <c r="F398" s="13"/>
      <c r="G398" s="13"/>
      <c r="H398" s="14"/>
      <c r="I398" s="15">
        <f t="shared" si="75"/>
        <v>9240147.9400000013</v>
      </c>
      <c r="J398" s="15"/>
      <c r="K398" s="15">
        <f t="shared" si="75"/>
        <v>14400</v>
      </c>
      <c r="L398" s="15">
        <f t="shared" si="75"/>
        <v>-117765.9</v>
      </c>
      <c r="M398" s="15">
        <f t="shared" si="75"/>
        <v>261312.5</v>
      </c>
      <c r="N398" s="15"/>
      <c r="O398" s="15">
        <f t="shared" si="75"/>
        <v>0</v>
      </c>
      <c r="P398" s="15">
        <f t="shared" si="75"/>
        <v>40000</v>
      </c>
      <c r="Q398" s="15"/>
      <c r="R398" s="15"/>
      <c r="S398" s="15"/>
      <c r="T398" s="15">
        <f t="shared" si="75"/>
        <v>9438094.540000001</v>
      </c>
      <c r="U398" s="15"/>
      <c r="V398" s="15"/>
      <c r="W398" s="15"/>
      <c r="X398" s="15"/>
      <c r="Y398" s="15">
        <f t="shared" si="75"/>
        <v>9517472.8000000007</v>
      </c>
      <c r="Z398" s="15"/>
      <c r="AA398" s="15"/>
      <c r="AB398" s="15"/>
      <c r="AC398" s="15"/>
      <c r="AD398" s="15">
        <f t="shared" si="75"/>
        <v>9783758.7300000004</v>
      </c>
      <c r="AI398" s="10">
        <f>SUM(AI396:AI397)</f>
        <v>358982.72</v>
      </c>
      <c r="AJ398" s="10">
        <f>SUM(AJ396:AJ397)</f>
        <v>327254.96000000002</v>
      </c>
      <c r="AK398" s="10">
        <f>SUM(AK396:AK397)</f>
        <v>327254.96000000002</v>
      </c>
    </row>
    <row r="399" spans="1:38" ht="21" x14ac:dyDescent="0.25">
      <c r="A399" s="3" t="s">
        <v>178</v>
      </c>
      <c r="B399" s="3" t="s">
        <v>178</v>
      </c>
      <c r="C399" s="13" t="s">
        <v>176</v>
      </c>
      <c r="D399" s="13">
        <v>0</v>
      </c>
      <c r="E399" s="13">
        <v>11</v>
      </c>
      <c r="F399" s="13">
        <v>903</v>
      </c>
      <c r="G399" s="13"/>
      <c r="H399" s="14"/>
      <c r="I399" s="15">
        <f>I400+I418+I414+I425</f>
        <v>9240147.9400000013</v>
      </c>
      <c r="J399" s="15"/>
      <c r="K399" s="15">
        <f>K400+K418+K414+K425</f>
        <v>14400</v>
      </c>
      <c r="L399" s="15">
        <f>L400+L418+L414+L425</f>
        <v>-117765.9</v>
      </c>
      <c r="M399" s="15">
        <f>M400+M418+M414+M425</f>
        <v>261312.5</v>
      </c>
      <c r="N399" s="15"/>
      <c r="O399" s="15">
        <f>O400+O418+O414+O425</f>
        <v>0</v>
      </c>
      <c r="P399" s="15">
        <f>P400+P418+P414+P425</f>
        <v>40000</v>
      </c>
      <c r="Q399" s="15"/>
      <c r="R399" s="15"/>
      <c r="S399" s="15"/>
      <c r="T399" s="15">
        <f>T400+T418+T414+T425</f>
        <v>9438094.540000001</v>
      </c>
      <c r="U399" s="15"/>
      <c r="V399" s="15"/>
      <c r="W399" s="15"/>
      <c r="X399" s="15"/>
      <c r="Y399" s="15">
        <f>Y400+Y418+Y414+Y425</f>
        <v>9517472.8000000007</v>
      </c>
      <c r="Z399" s="15"/>
      <c r="AA399" s="15"/>
      <c r="AB399" s="15"/>
      <c r="AC399" s="15"/>
      <c r="AD399" s="15">
        <f>AD400+AD418+AD414+AD425</f>
        <v>9783758.7300000004</v>
      </c>
    </row>
    <row r="400" spans="1:38" s="44" customFormat="1" ht="31.5" x14ac:dyDescent="0.15">
      <c r="A400" s="53" t="s">
        <v>56</v>
      </c>
      <c r="B400" s="49" t="s">
        <v>56</v>
      </c>
      <c r="C400" s="13" t="s">
        <v>176</v>
      </c>
      <c r="D400" s="13">
        <v>0</v>
      </c>
      <c r="E400" s="13">
        <v>11</v>
      </c>
      <c r="F400" s="13">
        <v>903</v>
      </c>
      <c r="G400" s="13">
        <v>80040</v>
      </c>
      <c r="H400" s="18"/>
      <c r="I400" s="15">
        <f>I401+I406+I409</f>
        <v>7354410.9400000013</v>
      </c>
      <c r="J400" s="22"/>
      <c r="K400" s="22"/>
      <c r="L400" s="15">
        <f>L401+L406+L409</f>
        <v>-117765.9</v>
      </c>
      <c r="M400" s="15"/>
      <c r="N400" s="15"/>
      <c r="O400" s="15"/>
      <c r="P400" s="15"/>
      <c r="Q400" s="15"/>
      <c r="R400" s="15"/>
      <c r="S400" s="15"/>
      <c r="T400" s="15">
        <f>T401+T406+T409</f>
        <v>7236645.040000001</v>
      </c>
      <c r="U400" s="15"/>
      <c r="V400" s="15"/>
      <c r="W400" s="15"/>
      <c r="X400" s="15"/>
      <c r="Y400" s="15">
        <f>Y401+Y406+Y409</f>
        <v>7631735.8000000007</v>
      </c>
      <c r="Z400" s="15"/>
      <c r="AA400" s="15"/>
      <c r="AB400" s="15"/>
      <c r="AC400" s="15"/>
      <c r="AD400" s="15">
        <f>AD401+AD406+AD409</f>
        <v>7898021.7299999995</v>
      </c>
      <c r="AF400" s="30"/>
      <c r="AG400" s="30"/>
      <c r="AH400" s="30"/>
      <c r="AI400" s="30"/>
      <c r="AJ400" s="30"/>
      <c r="AK400" s="30"/>
      <c r="AL400" s="30"/>
    </row>
    <row r="401" spans="1:30" ht="56.25" x14ac:dyDescent="0.25">
      <c r="A401" s="5" t="s">
        <v>22</v>
      </c>
      <c r="B401" s="5" t="s">
        <v>22</v>
      </c>
      <c r="C401" s="11" t="s">
        <v>176</v>
      </c>
      <c r="D401" s="11">
        <v>0</v>
      </c>
      <c r="E401" s="11">
        <v>11</v>
      </c>
      <c r="F401" s="11">
        <v>903</v>
      </c>
      <c r="G401" s="11">
        <v>80040</v>
      </c>
      <c r="H401" s="21" t="s">
        <v>57</v>
      </c>
      <c r="I401" s="20">
        <f>I402</f>
        <v>6764713.4600000009</v>
      </c>
      <c r="J401" s="20"/>
      <c r="K401" s="20"/>
      <c r="L401" s="20">
        <f>L402</f>
        <v>-117765.9</v>
      </c>
      <c r="M401" s="20"/>
      <c r="N401" s="20"/>
      <c r="O401" s="20"/>
      <c r="P401" s="20"/>
      <c r="Q401" s="20"/>
      <c r="R401" s="20"/>
      <c r="S401" s="20"/>
      <c r="T401" s="20">
        <f>T402</f>
        <v>6646947.5600000005</v>
      </c>
      <c r="U401" s="20"/>
      <c r="V401" s="20"/>
      <c r="W401" s="20"/>
      <c r="X401" s="20"/>
      <c r="Y401" s="20">
        <f>Y402</f>
        <v>7040498.1100000003</v>
      </c>
      <c r="Z401" s="20"/>
      <c r="AA401" s="20"/>
      <c r="AB401" s="20"/>
      <c r="AC401" s="20"/>
      <c r="AD401" s="20">
        <f>AD402</f>
        <v>7305182.1099999994</v>
      </c>
    </row>
    <row r="402" spans="1:30" ht="22.5" x14ac:dyDescent="0.25">
      <c r="A402" s="5" t="s">
        <v>23</v>
      </c>
      <c r="B402" s="5" t="s">
        <v>23</v>
      </c>
      <c r="C402" s="11" t="s">
        <v>176</v>
      </c>
      <c r="D402" s="11">
        <v>0</v>
      </c>
      <c r="E402" s="11">
        <v>11</v>
      </c>
      <c r="F402" s="11">
        <v>903</v>
      </c>
      <c r="G402" s="11">
        <v>80040</v>
      </c>
      <c r="H402" s="21" t="s">
        <v>58</v>
      </c>
      <c r="I402" s="20">
        <f>I403+I404+I405</f>
        <v>6764713.4600000009</v>
      </c>
      <c r="J402" s="20"/>
      <c r="K402" s="20"/>
      <c r="L402" s="20">
        <f>L403+L404+L405</f>
        <v>-117765.9</v>
      </c>
      <c r="M402" s="20"/>
      <c r="N402" s="20"/>
      <c r="O402" s="20"/>
      <c r="P402" s="20"/>
      <c r="Q402" s="20"/>
      <c r="R402" s="20"/>
      <c r="S402" s="20"/>
      <c r="T402" s="20">
        <f>T403+T404+T405</f>
        <v>6646947.5600000005</v>
      </c>
      <c r="U402" s="20"/>
      <c r="V402" s="20"/>
      <c r="W402" s="20"/>
      <c r="X402" s="20"/>
      <c r="Y402" s="20">
        <f>Y403+Y404+Y405</f>
        <v>7040498.1100000003</v>
      </c>
      <c r="Z402" s="20"/>
      <c r="AA402" s="20"/>
      <c r="AB402" s="20"/>
      <c r="AC402" s="20"/>
      <c r="AD402" s="20">
        <f>AD403+AD404+AD405</f>
        <v>7305182.1099999994</v>
      </c>
    </row>
    <row r="403" spans="1:30" ht="22.5" x14ac:dyDescent="0.25">
      <c r="A403" s="5" t="s">
        <v>44</v>
      </c>
      <c r="B403" s="5" t="s">
        <v>44</v>
      </c>
      <c r="C403" s="11" t="s">
        <v>176</v>
      </c>
      <c r="D403" s="11">
        <v>0</v>
      </c>
      <c r="E403" s="11">
        <v>11</v>
      </c>
      <c r="F403" s="11">
        <v>903</v>
      </c>
      <c r="G403" s="11">
        <v>80040</v>
      </c>
      <c r="H403" s="21">
        <v>121</v>
      </c>
      <c r="I403" s="20">
        <v>4870441.9800000004</v>
      </c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>
        <v>4870441.9800000004</v>
      </c>
      <c r="U403" s="20"/>
      <c r="V403" s="20"/>
      <c r="W403" s="20"/>
      <c r="X403" s="20"/>
      <c r="Y403" s="20">
        <v>5082258.1500000004</v>
      </c>
      <c r="Z403" s="20"/>
      <c r="AA403" s="20"/>
      <c r="AB403" s="20"/>
      <c r="AC403" s="20"/>
      <c r="AD403" s="20">
        <v>5285548.47</v>
      </c>
    </row>
    <row r="404" spans="1:30" ht="33.75" x14ac:dyDescent="0.25">
      <c r="A404" s="5" t="s">
        <v>45</v>
      </c>
      <c r="B404" s="5" t="s">
        <v>45</v>
      </c>
      <c r="C404" s="11" t="s">
        <v>176</v>
      </c>
      <c r="D404" s="11">
        <v>0</v>
      </c>
      <c r="E404" s="11">
        <v>11</v>
      </c>
      <c r="F404" s="11">
        <v>903</v>
      </c>
      <c r="G404" s="11">
        <v>80040</v>
      </c>
      <c r="H404" s="21">
        <v>122</v>
      </c>
      <c r="I404" s="20">
        <v>325550</v>
      </c>
      <c r="J404" s="20"/>
      <c r="K404" s="20"/>
      <c r="L404" s="20">
        <v>-90450</v>
      </c>
      <c r="M404" s="20"/>
      <c r="N404" s="20"/>
      <c r="O404" s="20"/>
      <c r="P404" s="20"/>
      <c r="Q404" s="20"/>
      <c r="R404" s="20"/>
      <c r="S404" s="20"/>
      <c r="T404" s="20">
        <f>325550+L404</f>
        <v>235100</v>
      </c>
      <c r="U404" s="20"/>
      <c r="V404" s="20"/>
      <c r="W404" s="20"/>
      <c r="X404" s="20"/>
      <c r="Y404" s="20">
        <v>325550</v>
      </c>
      <c r="Z404" s="20"/>
      <c r="AA404" s="20"/>
      <c r="AB404" s="20"/>
      <c r="AC404" s="20"/>
      <c r="AD404" s="20">
        <v>325550</v>
      </c>
    </row>
    <row r="405" spans="1:30" ht="45" x14ac:dyDescent="0.25">
      <c r="A405" s="5" t="s">
        <v>25</v>
      </c>
      <c r="B405" s="5" t="s">
        <v>25</v>
      </c>
      <c r="C405" s="11" t="s">
        <v>176</v>
      </c>
      <c r="D405" s="11">
        <v>0</v>
      </c>
      <c r="E405" s="11">
        <v>11</v>
      </c>
      <c r="F405" s="11">
        <v>903</v>
      </c>
      <c r="G405" s="11">
        <v>80040</v>
      </c>
      <c r="H405" s="21">
        <v>129</v>
      </c>
      <c r="I405" s="20">
        <v>1568721.48</v>
      </c>
      <c r="J405" s="20"/>
      <c r="K405" s="20"/>
      <c r="L405" s="20">
        <v>-27315.9</v>
      </c>
      <c r="M405" s="20"/>
      <c r="N405" s="20"/>
      <c r="O405" s="20"/>
      <c r="P405" s="20"/>
      <c r="Q405" s="20"/>
      <c r="R405" s="20"/>
      <c r="S405" s="20"/>
      <c r="T405" s="20">
        <f>1568721.48+L405</f>
        <v>1541405.58</v>
      </c>
      <c r="U405" s="20"/>
      <c r="V405" s="20"/>
      <c r="W405" s="20"/>
      <c r="X405" s="20"/>
      <c r="Y405" s="20">
        <v>1632689.96</v>
      </c>
      <c r="Z405" s="20"/>
      <c r="AA405" s="20"/>
      <c r="AB405" s="20"/>
      <c r="AC405" s="20"/>
      <c r="AD405" s="20">
        <v>1694083.64</v>
      </c>
    </row>
    <row r="406" spans="1:30" ht="22.5" x14ac:dyDescent="0.25">
      <c r="A406" s="5" t="s">
        <v>26</v>
      </c>
      <c r="B406" s="5" t="s">
        <v>26</v>
      </c>
      <c r="C406" s="11" t="s">
        <v>176</v>
      </c>
      <c r="D406" s="11">
        <v>0</v>
      </c>
      <c r="E406" s="11">
        <v>11</v>
      </c>
      <c r="F406" s="11">
        <v>903</v>
      </c>
      <c r="G406" s="11">
        <v>80040</v>
      </c>
      <c r="H406" s="21">
        <v>200</v>
      </c>
      <c r="I406" s="20">
        <f t="shared" ref="I406:AD407" si="76">I407</f>
        <v>589697.48</v>
      </c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>
        <f t="shared" si="76"/>
        <v>589697.48</v>
      </c>
      <c r="U406" s="20"/>
      <c r="V406" s="20"/>
      <c r="W406" s="20"/>
      <c r="X406" s="20"/>
      <c r="Y406" s="20">
        <f t="shared" si="76"/>
        <v>591237.68999999994</v>
      </c>
      <c r="Z406" s="20"/>
      <c r="AA406" s="20"/>
      <c r="AB406" s="20"/>
      <c r="AC406" s="20"/>
      <c r="AD406" s="20">
        <f t="shared" si="76"/>
        <v>592839.62</v>
      </c>
    </row>
    <row r="407" spans="1:30" ht="42.75" customHeight="1" x14ac:dyDescent="0.25">
      <c r="A407" s="5" t="s">
        <v>28</v>
      </c>
      <c r="B407" s="5" t="s">
        <v>28</v>
      </c>
      <c r="C407" s="11" t="s">
        <v>176</v>
      </c>
      <c r="D407" s="11">
        <v>0</v>
      </c>
      <c r="E407" s="11">
        <v>11</v>
      </c>
      <c r="F407" s="11">
        <v>903</v>
      </c>
      <c r="G407" s="11">
        <v>80040</v>
      </c>
      <c r="H407" s="21">
        <v>240</v>
      </c>
      <c r="I407" s="20">
        <f t="shared" si="76"/>
        <v>589697.48</v>
      </c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>
        <f t="shared" si="76"/>
        <v>589697.48</v>
      </c>
      <c r="U407" s="20"/>
      <c r="V407" s="20"/>
      <c r="W407" s="20"/>
      <c r="X407" s="20"/>
      <c r="Y407" s="20">
        <f t="shared" si="76"/>
        <v>591237.68999999994</v>
      </c>
      <c r="Z407" s="20"/>
      <c r="AA407" s="20"/>
      <c r="AB407" s="20"/>
      <c r="AC407" s="20"/>
      <c r="AD407" s="20">
        <f t="shared" si="76"/>
        <v>592839.62</v>
      </c>
    </row>
    <row r="408" spans="1:30" ht="33.75" x14ac:dyDescent="0.25">
      <c r="A408" s="5" t="s">
        <v>30</v>
      </c>
      <c r="B408" s="5" t="s">
        <v>30</v>
      </c>
      <c r="C408" s="11" t="s">
        <v>176</v>
      </c>
      <c r="D408" s="11">
        <v>0</v>
      </c>
      <c r="E408" s="11">
        <v>11</v>
      </c>
      <c r="F408" s="11">
        <v>903</v>
      </c>
      <c r="G408" s="11">
        <v>80040</v>
      </c>
      <c r="H408" s="21">
        <v>244</v>
      </c>
      <c r="I408" s="20">
        <v>589697.48</v>
      </c>
      <c r="J408" s="20"/>
      <c r="K408" s="20">
        <v>0</v>
      </c>
      <c r="L408" s="20"/>
      <c r="M408" s="20"/>
      <c r="N408" s="20"/>
      <c r="O408" s="20"/>
      <c r="P408" s="20"/>
      <c r="Q408" s="20"/>
      <c r="R408" s="20"/>
      <c r="S408" s="20"/>
      <c r="T408" s="20">
        <v>589697.48</v>
      </c>
      <c r="U408" s="20"/>
      <c r="V408" s="20"/>
      <c r="W408" s="20"/>
      <c r="X408" s="20"/>
      <c r="Y408" s="20">
        <v>591237.68999999994</v>
      </c>
      <c r="Z408" s="20"/>
      <c r="AA408" s="20"/>
      <c r="AB408" s="20"/>
      <c r="AC408" s="20"/>
      <c r="AD408" s="20">
        <v>592839.62</v>
      </c>
    </row>
    <row r="409" spans="1:30" hidden="1" x14ac:dyDescent="0.25">
      <c r="A409" s="5" t="s">
        <v>59</v>
      </c>
      <c r="B409" s="5" t="s">
        <v>59</v>
      </c>
      <c r="C409" s="11" t="s">
        <v>176</v>
      </c>
      <c r="D409" s="11">
        <v>0</v>
      </c>
      <c r="E409" s="11">
        <v>11</v>
      </c>
      <c r="F409" s="11">
        <v>903</v>
      </c>
      <c r="G409" s="11">
        <v>80040</v>
      </c>
      <c r="H409" s="21">
        <v>800</v>
      </c>
      <c r="I409" s="20">
        <f>I410</f>
        <v>0</v>
      </c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>
        <f>T410</f>
        <v>0</v>
      </c>
      <c r="U409" s="20"/>
      <c r="V409" s="20"/>
      <c r="W409" s="20"/>
      <c r="X409" s="20"/>
      <c r="Y409" s="20">
        <f>Y410</f>
        <v>0</v>
      </c>
      <c r="Z409" s="20"/>
      <c r="AA409" s="20"/>
      <c r="AB409" s="20"/>
      <c r="AC409" s="20"/>
      <c r="AD409" s="20">
        <f>AD410</f>
        <v>0</v>
      </c>
    </row>
    <row r="410" spans="1:30" ht="22.5" hidden="1" x14ac:dyDescent="0.25">
      <c r="A410" s="5" t="s">
        <v>62</v>
      </c>
      <c r="B410" s="5" t="s">
        <v>62</v>
      </c>
      <c r="C410" s="11" t="s">
        <v>176</v>
      </c>
      <c r="D410" s="11">
        <v>0</v>
      </c>
      <c r="E410" s="11">
        <v>11</v>
      </c>
      <c r="F410" s="11">
        <v>903</v>
      </c>
      <c r="G410" s="11">
        <v>80040</v>
      </c>
      <c r="H410" s="21">
        <v>850</v>
      </c>
      <c r="I410" s="20">
        <f>I411+I412+I413</f>
        <v>0</v>
      </c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>
        <f>T411+T412+T413</f>
        <v>0</v>
      </c>
      <c r="U410" s="20"/>
      <c r="V410" s="20"/>
      <c r="W410" s="20"/>
      <c r="X410" s="20"/>
      <c r="Y410" s="20">
        <f>Y411+Y412+Y413</f>
        <v>0</v>
      </c>
      <c r="Z410" s="20"/>
      <c r="AA410" s="20"/>
      <c r="AB410" s="20"/>
      <c r="AC410" s="20"/>
      <c r="AD410" s="20">
        <f>AD411+AD412+AD413</f>
        <v>0</v>
      </c>
    </row>
    <row r="411" spans="1:30" ht="22.5" hidden="1" x14ac:dyDescent="0.25">
      <c r="A411" s="5" t="s">
        <v>131</v>
      </c>
      <c r="B411" s="5" t="s">
        <v>131</v>
      </c>
      <c r="C411" s="11" t="s">
        <v>176</v>
      </c>
      <c r="D411" s="11">
        <v>0</v>
      </c>
      <c r="E411" s="11">
        <v>11</v>
      </c>
      <c r="F411" s="11">
        <v>903</v>
      </c>
      <c r="G411" s="11">
        <v>80040</v>
      </c>
      <c r="H411" s="21">
        <v>851</v>
      </c>
      <c r="I411" s="20">
        <v>0</v>
      </c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>
        <v>0</v>
      </c>
      <c r="U411" s="20"/>
      <c r="V411" s="20"/>
      <c r="W411" s="20"/>
      <c r="X411" s="20"/>
      <c r="Y411" s="20">
        <v>0</v>
      </c>
      <c r="Z411" s="20"/>
      <c r="AA411" s="20"/>
      <c r="AB411" s="20"/>
      <c r="AC411" s="20"/>
      <c r="AD411" s="20">
        <v>0</v>
      </c>
    </row>
    <row r="412" spans="1:30" hidden="1" x14ac:dyDescent="0.25">
      <c r="A412" s="5" t="s">
        <v>133</v>
      </c>
      <c r="B412" s="5" t="s">
        <v>133</v>
      </c>
      <c r="C412" s="11" t="s">
        <v>176</v>
      </c>
      <c r="D412" s="11">
        <v>0</v>
      </c>
      <c r="E412" s="11">
        <v>11</v>
      </c>
      <c r="F412" s="11">
        <v>903</v>
      </c>
      <c r="G412" s="11">
        <v>80040</v>
      </c>
      <c r="H412" s="21">
        <v>852</v>
      </c>
      <c r="I412" s="20">
        <v>0</v>
      </c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>
        <v>0</v>
      </c>
      <c r="U412" s="20"/>
      <c r="V412" s="20"/>
      <c r="W412" s="20"/>
      <c r="X412" s="20"/>
      <c r="Y412" s="20">
        <v>0</v>
      </c>
      <c r="Z412" s="20"/>
      <c r="AA412" s="20"/>
      <c r="AB412" s="20"/>
      <c r="AC412" s="20"/>
      <c r="AD412" s="20">
        <v>0</v>
      </c>
    </row>
    <row r="413" spans="1:30" hidden="1" x14ac:dyDescent="0.25">
      <c r="A413" s="5" t="s">
        <v>63</v>
      </c>
      <c r="B413" s="5" t="s">
        <v>63</v>
      </c>
      <c r="C413" s="11" t="s">
        <v>176</v>
      </c>
      <c r="D413" s="11">
        <v>0</v>
      </c>
      <c r="E413" s="11">
        <v>11</v>
      </c>
      <c r="F413" s="11">
        <v>903</v>
      </c>
      <c r="G413" s="11">
        <v>10040</v>
      </c>
      <c r="H413" s="21">
        <v>853</v>
      </c>
      <c r="I413" s="20">
        <v>0</v>
      </c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>
        <v>0</v>
      </c>
      <c r="U413" s="20"/>
      <c r="V413" s="20"/>
      <c r="W413" s="20"/>
      <c r="X413" s="20"/>
      <c r="Y413" s="20">
        <v>0</v>
      </c>
      <c r="Z413" s="20"/>
      <c r="AA413" s="20"/>
      <c r="AB413" s="20"/>
      <c r="AC413" s="20"/>
      <c r="AD413" s="20">
        <v>0</v>
      </c>
    </row>
    <row r="414" spans="1:30" ht="21" x14ac:dyDescent="0.25">
      <c r="A414" s="3" t="s">
        <v>67</v>
      </c>
      <c r="B414" s="49" t="s">
        <v>67</v>
      </c>
      <c r="C414" s="13" t="s">
        <v>176</v>
      </c>
      <c r="D414" s="13">
        <v>0</v>
      </c>
      <c r="E414" s="13">
        <v>11</v>
      </c>
      <c r="F414" s="13">
        <v>903</v>
      </c>
      <c r="G414" s="13">
        <v>80070</v>
      </c>
      <c r="H414" s="18"/>
      <c r="I414" s="15">
        <f t="shared" ref="I414:AD416" si="77">I415</f>
        <v>70000</v>
      </c>
      <c r="J414" s="22"/>
      <c r="K414" s="22"/>
      <c r="L414" s="22"/>
      <c r="M414" s="22"/>
      <c r="N414" s="22"/>
      <c r="O414" s="22"/>
      <c r="P414" s="15">
        <f t="shared" si="77"/>
        <v>40000</v>
      </c>
      <c r="Q414" s="15"/>
      <c r="R414" s="15"/>
      <c r="S414" s="15"/>
      <c r="T414" s="15">
        <f t="shared" si="77"/>
        <v>110000</v>
      </c>
      <c r="U414" s="15"/>
      <c r="V414" s="15"/>
      <c r="W414" s="15"/>
      <c r="X414" s="15"/>
      <c r="Y414" s="15">
        <f t="shared" si="77"/>
        <v>70000</v>
      </c>
      <c r="Z414" s="15"/>
      <c r="AA414" s="15"/>
      <c r="AB414" s="15"/>
      <c r="AC414" s="15"/>
      <c r="AD414" s="15">
        <f t="shared" si="77"/>
        <v>70000</v>
      </c>
    </row>
    <row r="415" spans="1:30" ht="22.5" x14ac:dyDescent="0.25">
      <c r="A415" s="5" t="s">
        <v>26</v>
      </c>
      <c r="B415" s="5" t="s">
        <v>26</v>
      </c>
      <c r="C415" s="11" t="s">
        <v>176</v>
      </c>
      <c r="D415" s="11">
        <v>0</v>
      </c>
      <c r="E415" s="11">
        <v>11</v>
      </c>
      <c r="F415" s="11">
        <v>903</v>
      </c>
      <c r="G415" s="11">
        <v>80070</v>
      </c>
      <c r="H415" s="21" t="s">
        <v>27</v>
      </c>
      <c r="I415" s="20">
        <f t="shared" si="77"/>
        <v>70000</v>
      </c>
      <c r="J415" s="20"/>
      <c r="K415" s="20"/>
      <c r="L415" s="20"/>
      <c r="M415" s="20"/>
      <c r="N415" s="20"/>
      <c r="O415" s="20"/>
      <c r="P415" s="20">
        <f t="shared" si="77"/>
        <v>40000</v>
      </c>
      <c r="Q415" s="20"/>
      <c r="R415" s="20"/>
      <c r="S415" s="20"/>
      <c r="T415" s="20">
        <f t="shared" si="77"/>
        <v>110000</v>
      </c>
      <c r="U415" s="20"/>
      <c r="V415" s="20"/>
      <c r="W415" s="20"/>
      <c r="X415" s="20"/>
      <c r="Y415" s="20">
        <f t="shared" si="77"/>
        <v>70000</v>
      </c>
      <c r="Z415" s="20"/>
      <c r="AA415" s="20"/>
      <c r="AB415" s="20"/>
      <c r="AC415" s="20"/>
      <c r="AD415" s="20">
        <f t="shared" si="77"/>
        <v>70000</v>
      </c>
    </row>
    <row r="416" spans="1:30" ht="33.75" x14ac:dyDescent="0.25">
      <c r="A416" s="5" t="s">
        <v>28</v>
      </c>
      <c r="B416" s="5" t="s">
        <v>28</v>
      </c>
      <c r="C416" s="11" t="s">
        <v>176</v>
      </c>
      <c r="D416" s="11">
        <v>0</v>
      </c>
      <c r="E416" s="11">
        <v>11</v>
      </c>
      <c r="F416" s="11">
        <v>903</v>
      </c>
      <c r="G416" s="11">
        <v>80070</v>
      </c>
      <c r="H416" s="21" t="s">
        <v>29</v>
      </c>
      <c r="I416" s="20">
        <f t="shared" si="77"/>
        <v>70000</v>
      </c>
      <c r="J416" s="20"/>
      <c r="K416" s="20"/>
      <c r="L416" s="20"/>
      <c r="M416" s="20"/>
      <c r="N416" s="20"/>
      <c r="O416" s="20"/>
      <c r="P416" s="20">
        <f t="shared" si="77"/>
        <v>40000</v>
      </c>
      <c r="Q416" s="20"/>
      <c r="R416" s="20"/>
      <c r="S416" s="20"/>
      <c r="T416" s="20">
        <f t="shared" si="77"/>
        <v>110000</v>
      </c>
      <c r="U416" s="20"/>
      <c r="V416" s="20"/>
      <c r="W416" s="20"/>
      <c r="X416" s="20"/>
      <c r="Y416" s="20">
        <f t="shared" si="77"/>
        <v>70000</v>
      </c>
      <c r="Z416" s="20"/>
      <c r="AA416" s="20"/>
      <c r="AB416" s="20"/>
      <c r="AC416" s="20"/>
      <c r="AD416" s="20">
        <f t="shared" si="77"/>
        <v>70000</v>
      </c>
    </row>
    <row r="417" spans="1:38" ht="33.75" x14ac:dyDescent="0.25">
      <c r="A417" s="5" t="s">
        <v>30</v>
      </c>
      <c r="B417" s="5" t="s">
        <v>30</v>
      </c>
      <c r="C417" s="11" t="s">
        <v>176</v>
      </c>
      <c r="D417" s="11">
        <v>0</v>
      </c>
      <c r="E417" s="11">
        <v>11</v>
      </c>
      <c r="F417" s="11">
        <v>903</v>
      </c>
      <c r="G417" s="11">
        <v>80070</v>
      </c>
      <c r="H417" s="21">
        <v>244</v>
      </c>
      <c r="I417" s="20">
        <v>70000</v>
      </c>
      <c r="J417" s="20"/>
      <c r="K417" s="20"/>
      <c r="L417" s="20"/>
      <c r="M417" s="20"/>
      <c r="N417" s="20"/>
      <c r="O417" s="20"/>
      <c r="P417" s="20">
        <v>40000</v>
      </c>
      <c r="Q417" s="20"/>
      <c r="R417" s="20"/>
      <c r="S417" s="20"/>
      <c r="T417" s="20">
        <f>70000+P417</f>
        <v>110000</v>
      </c>
      <c r="U417" s="20"/>
      <c r="V417" s="20"/>
      <c r="W417" s="20"/>
      <c r="X417" s="20"/>
      <c r="Y417" s="20">
        <v>70000</v>
      </c>
      <c r="Z417" s="20"/>
      <c r="AA417" s="20"/>
      <c r="AB417" s="20"/>
      <c r="AC417" s="20"/>
      <c r="AD417" s="20">
        <v>70000</v>
      </c>
    </row>
    <row r="418" spans="1:38" ht="42.75" customHeight="1" x14ac:dyDescent="0.25">
      <c r="A418" s="4" t="s">
        <v>179</v>
      </c>
      <c r="B418" s="49" t="s">
        <v>180</v>
      </c>
      <c r="C418" s="13" t="s">
        <v>176</v>
      </c>
      <c r="D418" s="13">
        <v>0</v>
      </c>
      <c r="E418" s="13">
        <v>11</v>
      </c>
      <c r="F418" s="13">
        <v>903</v>
      </c>
      <c r="G418" s="13">
        <v>80900</v>
      </c>
      <c r="H418" s="18"/>
      <c r="I418" s="15">
        <f>I419+I422</f>
        <v>1012500</v>
      </c>
      <c r="J418" s="22"/>
      <c r="K418" s="15">
        <f>K419+K422</f>
        <v>14400</v>
      </c>
      <c r="L418" s="15"/>
      <c r="M418" s="15">
        <f>M419+M422</f>
        <v>261312.5</v>
      </c>
      <c r="N418" s="15"/>
      <c r="O418" s="15">
        <f>O419+O422</f>
        <v>0</v>
      </c>
      <c r="P418" s="15"/>
      <c r="Q418" s="15"/>
      <c r="R418" s="15"/>
      <c r="S418" s="15"/>
      <c r="T418" s="15">
        <f>T419+T422</f>
        <v>1288212.5</v>
      </c>
      <c r="U418" s="15"/>
      <c r="V418" s="15"/>
      <c r="W418" s="15"/>
      <c r="X418" s="15"/>
      <c r="Y418" s="15">
        <f>Y419+Y422</f>
        <v>1012500</v>
      </c>
      <c r="Z418" s="15"/>
      <c r="AA418" s="15"/>
      <c r="AB418" s="15"/>
      <c r="AC418" s="15"/>
      <c r="AD418" s="15">
        <f>AD419+AD422</f>
        <v>1012500</v>
      </c>
    </row>
    <row r="419" spans="1:38" ht="22.5" x14ac:dyDescent="0.25">
      <c r="A419" s="5" t="s">
        <v>26</v>
      </c>
      <c r="B419" s="5" t="s">
        <v>26</v>
      </c>
      <c r="C419" s="11" t="s">
        <v>176</v>
      </c>
      <c r="D419" s="11">
        <v>0</v>
      </c>
      <c r="E419" s="11">
        <v>11</v>
      </c>
      <c r="F419" s="11">
        <v>903</v>
      </c>
      <c r="G419" s="11">
        <v>80900</v>
      </c>
      <c r="H419" s="21" t="s">
        <v>27</v>
      </c>
      <c r="I419" s="20">
        <f t="shared" ref="I419:AD420" si="78">I420</f>
        <v>1012500</v>
      </c>
      <c r="J419" s="20"/>
      <c r="K419" s="20">
        <f t="shared" si="78"/>
        <v>14400</v>
      </c>
      <c r="L419" s="20"/>
      <c r="M419" s="20">
        <f t="shared" si="78"/>
        <v>261312.5</v>
      </c>
      <c r="N419" s="20"/>
      <c r="O419" s="20">
        <f t="shared" si="78"/>
        <v>-11200</v>
      </c>
      <c r="P419" s="20"/>
      <c r="Q419" s="20"/>
      <c r="R419" s="20"/>
      <c r="S419" s="20"/>
      <c r="T419" s="20">
        <f t="shared" si="78"/>
        <v>1277012.5</v>
      </c>
      <c r="U419" s="20"/>
      <c r="V419" s="20"/>
      <c r="W419" s="20"/>
      <c r="X419" s="20"/>
      <c r="Y419" s="20">
        <f t="shared" si="78"/>
        <v>1012500</v>
      </c>
      <c r="Z419" s="20"/>
      <c r="AA419" s="20"/>
      <c r="AB419" s="20"/>
      <c r="AC419" s="20"/>
      <c r="AD419" s="20">
        <f t="shared" si="78"/>
        <v>1012500</v>
      </c>
    </row>
    <row r="420" spans="1:38" ht="33.75" x14ac:dyDescent="0.25">
      <c r="A420" s="5" t="s">
        <v>28</v>
      </c>
      <c r="B420" s="5" t="s">
        <v>28</v>
      </c>
      <c r="C420" s="11" t="s">
        <v>176</v>
      </c>
      <c r="D420" s="11">
        <v>0</v>
      </c>
      <c r="E420" s="11">
        <v>11</v>
      </c>
      <c r="F420" s="11">
        <v>903</v>
      </c>
      <c r="G420" s="11">
        <v>80900</v>
      </c>
      <c r="H420" s="21" t="s">
        <v>29</v>
      </c>
      <c r="I420" s="20">
        <f t="shared" si="78"/>
        <v>1012500</v>
      </c>
      <c r="J420" s="20"/>
      <c r="K420" s="20">
        <f t="shared" si="78"/>
        <v>14400</v>
      </c>
      <c r="L420" s="20"/>
      <c r="M420" s="20">
        <f t="shared" si="78"/>
        <v>261312.5</v>
      </c>
      <c r="N420" s="20"/>
      <c r="O420" s="20">
        <f t="shared" si="78"/>
        <v>-11200</v>
      </c>
      <c r="P420" s="20"/>
      <c r="Q420" s="20"/>
      <c r="R420" s="20"/>
      <c r="S420" s="20"/>
      <c r="T420" s="20">
        <f t="shared" si="78"/>
        <v>1277012.5</v>
      </c>
      <c r="U420" s="20"/>
      <c r="V420" s="20"/>
      <c r="W420" s="20"/>
      <c r="X420" s="20"/>
      <c r="Y420" s="20">
        <f t="shared" si="78"/>
        <v>1012500</v>
      </c>
      <c r="Z420" s="20"/>
      <c r="AA420" s="20"/>
      <c r="AB420" s="20"/>
      <c r="AC420" s="20"/>
      <c r="AD420" s="20">
        <f t="shared" si="78"/>
        <v>1012500</v>
      </c>
    </row>
    <row r="421" spans="1:38" s="44" customFormat="1" ht="33.75" x14ac:dyDescent="0.25">
      <c r="A421" s="5" t="s">
        <v>30</v>
      </c>
      <c r="B421" s="5" t="s">
        <v>30</v>
      </c>
      <c r="C421" s="11" t="s">
        <v>176</v>
      </c>
      <c r="D421" s="11">
        <v>0</v>
      </c>
      <c r="E421" s="11">
        <v>11</v>
      </c>
      <c r="F421" s="11">
        <v>903</v>
      </c>
      <c r="G421" s="11">
        <v>80900</v>
      </c>
      <c r="H421" s="21">
        <v>244</v>
      </c>
      <c r="I421" s="20">
        <v>1012500</v>
      </c>
      <c r="J421" s="20"/>
      <c r="K421" s="20">
        <v>14400</v>
      </c>
      <c r="L421" s="20"/>
      <c r="M421" s="20">
        <v>261312.5</v>
      </c>
      <c r="N421" s="20"/>
      <c r="O421" s="20">
        <v>-11200</v>
      </c>
      <c r="P421" s="20"/>
      <c r="Q421" s="20"/>
      <c r="R421" s="20"/>
      <c r="S421" s="20"/>
      <c r="T421" s="20">
        <f>1012500+K421+M421+O421</f>
        <v>1277012.5</v>
      </c>
      <c r="U421" s="20"/>
      <c r="V421" s="20"/>
      <c r="W421" s="20"/>
      <c r="X421" s="20"/>
      <c r="Y421" s="20">
        <v>1012500</v>
      </c>
      <c r="Z421" s="20"/>
      <c r="AA421" s="20"/>
      <c r="AB421" s="20"/>
      <c r="AC421" s="20"/>
      <c r="AD421" s="20">
        <v>1012500</v>
      </c>
      <c r="AF421" s="30"/>
      <c r="AG421" s="30"/>
      <c r="AH421" s="30"/>
      <c r="AI421" s="30"/>
      <c r="AJ421" s="30"/>
      <c r="AK421" s="30"/>
      <c r="AL421" s="30"/>
    </row>
    <row r="422" spans="1:38" x14ac:dyDescent="0.25">
      <c r="A422" s="5" t="s">
        <v>59</v>
      </c>
      <c r="B422" s="5" t="s">
        <v>59</v>
      </c>
      <c r="C422" s="11" t="s">
        <v>176</v>
      </c>
      <c r="D422" s="11">
        <v>0</v>
      </c>
      <c r="E422" s="11">
        <v>11</v>
      </c>
      <c r="F422" s="11">
        <v>903</v>
      </c>
      <c r="G422" s="11">
        <v>80900</v>
      </c>
      <c r="H422" s="21">
        <v>800</v>
      </c>
      <c r="I422" s="20">
        <f t="shared" ref="I422:AD423" si="79">I423</f>
        <v>0</v>
      </c>
      <c r="J422" s="20"/>
      <c r="K422" s="20"/>
      <c r="L422" s="20"/>
      <c r="M422" s="20"/>
      <c r="N422" s="20"/>
      <c r="O422" s="20">
        <f t="shared" si="79"/>
        <v>11200</v>
      </c>
      <c r="P422" s="20"/>
      <c r="Q422" s="20"/>
      <c r="R422" s="20"/>
      <c r="S422" s="20"/>
      <c r="T422" s="20">
        <f t="shared" si="79"/>
        <v>11200</v>
      </c>
      <c r="U422" s="20"/>
      <c r="V422" s="20"/>
      <c r="W422" s="20"/>
      <c r="X422" s="20"/>
      <c r="Y422" s="20">
        <f t="shared" si="79"/>
        <v>0</v>
      </c>
      <c r="Z422" s="20"/>
      <c r="AA422" s="20"/>
      <c r="AB422" s="20"/>
      <c r="AC422" s="20"/>
      <c r="AD422" s="20">
        <f t="shared" si="79"/>
        <v>0</v>
      </c>
    </row>
    <row r="423" spans="1:38" s="44" customFormat="1" x14ac:dyDescent="0.25">
      <c r="A423" s="5" t="s">
        <v>60</v>
      </c>
      <c r="B423" s="5" t="s">
        <v>60</v>
      </c>
      <c r="C423" s="11" t="s">
        <v>176</v>
      </c>
      <c r="D423" s="11">
        <v>0</v>
      </c>
      <c r="E423" s="11">
        <v>11</v>
      </c>
      <c r="F423" s="11">
        <v>903</v>
      </c>
      <c r="G423" s="11">
        <v>80900</v>
      </c>
      <c r="H423" s="21">
        <v>830</v>
      </c>
      <c r="I423" s="20">
        <f t="shared" si="79"/>
        <v>0</v>
      </c>
      <c r="J423" s="20"/>
      <c r="K423" s="20"/>
      <c r="L423" s="20"/>
      <c r="M423" s="20"/>
      <c r="N423" s="20"/>
      <c r="O423" s="20">
        <f t="shared" si="79"/>
        <v>11200</v>
      </c>
      <c r="P423" s="20"/>
      <c r="Q423" s="20"/>
      <c r="R423" s="20"/>
      <c r="S423" s="20"/>
      <c r="T423" s="20">
        <f t="shared" si="79"/>
        <v>11200</v>
      </c>
      <c r="U423" s="20"/>
      <c r="V423" s="20"/>
      <c r="W423" s="20"/>
      <c r="X423" s="20"/>
      <c r="Y423" s="20">
        <f t="shared" si="79"/>
        <v>0</v>
      </c>
      <c r="Z423" s="20"/>
      <c r="AA423" s="20"/>
      <c r="AB423" s="20"/>
      <c r="AC423" s="20"/>
      <c r="AD423" s="20">
        <f t="shared" si="79"/>
        <v>0</v>
      </c>
      <c r="AF423" s="30"/>
      <c r="AG423" s="30"/>
      <c r="AH423" s="30"/>
      <c r="AI423" s="30"/>
      <c r="AJ423" s="30"/>
      <c r="AK423" s="30"/>
      <c r="AL423" s="30"/>
    </row>
    <row r="424" spans="1:38" s="44" customFormat="1" ht="134.25" customHeight="1" x14ac:dyDescent="0.25">
      <c r="A424" s="5" t="s">
        <v>61</v>
      </c>
      <c r="B424" s="5" t="s">
        <v>61</v>
      </c>
      <c r="C424" s="11" t="s">
        <v>176</v>
      </c>
      <c r="D424" s="11">
        <v>0</v>
      </c>
      <c r="E424" s="11">
        <v>11</v>
      </c>
      <c r="F424" s="11">
        <v>903</v>
      </c>
      <c r="G424" s="11">
        <v>80900</v>
      </c>
      <c r="H424" s="21">
        <v>831</v>
      </c>
      <c r="I424" s="20">
        <v>0</v>
      </c>
      <c r="J424" s="20"/>
      <c r="K424" s="20"/>
      <c r="L424" s="20"/>
      <c r="M424" s="20"/>
      <c r="N424" s="20"/>
      <c r="O424" s="20">
        <v>11200</v>
      </c>
      <c r="P424" s="20"/>
      <c r="Q424" s="20"/>
      <c r="R424" s="20"/>
      <c r="S424" s="20"/>
      <c r="T424" s="20">
        <f>O424</f>
        <v>11200</v>
      </c>
      <c r="U424" s="20"/>
      <c r="V424" s="20"/>
      <c r="W424" s="20"/>
      <c r="X424" s="20"/>
      <c r="Y424" s="20">
        <v>0</v>
      </c>
      <c r="Z424" s="20"/>
      <c r="AA424" s="20"/>
      <c r="AB424" s="20"/>
      <c r="AC424" s="20"/>
      <c r="AD424" s="20">
        <v>0</v>
      </c>
      <c r="AF424" s="30"/>
      <c r="AG424" s="30"/>
      <c r="AH424" s="30"/>
      <c r="AI424" s="30"/>
      <c r="AJ424" s="30"/>
      <c r="AK424" s="30"/>
      <c r="AL424" s="30"/>
    </row>
    <row r="425" spans="1:38" s="44" customFormat="1" ht="33" customHeight="1" x14ac:dyDescent="0.25">
      <c r="A425" s="3"/>
      <c r="B425" s="3" t="s">
        <v>127</v>
      </c>
      <c r="C425" s="13" t="s">
        <v>176</v>
      </c>
      <c r="D425" s="13">
        <v>0</v>
      </c>
      <c r="E425" s="13">
        <v>11</v>
      </c>
      <c r="F425" s="13">
        <v>903</v>
      </c>
      <c r="G425" s="13">
        <v>83360</v>
      </c>
      <c r="H425" s="14"/>
      <c r="I425" s="15">
        <f t="shared" ref="I425:AD426" si="80">I426</f>
        <v>803237</v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>
        <f t="shared" si="80"/>
        <v>803237</v>
      </c>
      <c r="U425" s="15"/>
      <c r="V425" s="15"/>
      <c r="W425" s="15"/>
      <c r="X425" s="15"/>
      <c r="Y425" s="15">
        <f t="shared" si="80"/>
        <v>803237</v>
      </c>
      <c r="Z425" s="15"/>
      <c r="AA425" s="15"/>
      <c r="AB425" s="15"/>
      <c r="AC425" s="15"/>
      <c r="AD425" s="15">
        <f t="shared" si="80"/>
        <v>803237</v>
      </c>
      <c r="AF425" s="30"/>
      <c r="AG425" s="30"/>
      <c r="AH425" s="30"/>
      <c r="AI425" s="30"/>
      <c r="AJ425" s="30"/>
      <c r="AK425" s="30"/>
      <c r="AL425" s="30"/>
    </row>
    <row r="426" spans="1:38" s="44" customFormat="1" x14ac:dyDescent="0.25">
      <c r="A426" s="5"/>
      <c r="B426" s="5" t="s">
        <v>59</v>
      </c>
      <c r="C426" s="11" t="s">
        <v>176</v>
      </c>
      <c r="D426" s="11">
        <v>0</v>
      </c>
      <c r="E426" s="11">
        <v>11</v>
      </c>
      <c r="F426" s="11">
        <v>903</v>
      </c>
      <c r="G426" s="11">
        <v>83360</v>
      </c>
      <c r="H426" s="21">
        <v>800</v>
      </c>
      <c r="I426" s="20">
        <f t="shared" si="80"/>
        <v>803237</v>
      </c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>
        <f t="shared" si="80"/>
        <v>803237</v>
      </c>
      <c r="U426" s="20"/>
      <c r="V426" s="20"/>
      <c r="W426" s="20"/>
      <c r="X426" s="20"/>
      <c r="Y426" s="20">
        <f t="shared" si="80"/>
        <v>803237</v>
      </c>
      <c r="Z426" s="20"/>
      <c r="AA426" s="20"/>
      <c r="AB426" s="20"/>
      <c r="AC426" s="20"/>
      <c r="AD426" s="20">
        <f t="shared" si="80"/>
        <v>803237</v>
      </c>
      <c r="AF426" s="30"/>
      <c r="AG426" s="30"/>
      <c r="AH426" s="30"/>
      <c r="AI426" s="30"/>
      <c r="AJ426" s="30"/>
      <c r="AK426" s="30"/>
      <c r="AL426" s="30"/>
    </row>
    <row r="427" spans="1:38" s="44" customFormat="1" x14ac:dyDescent="0.25">
      <c r="A427" s="5"/>
      <c r="B427" s="5" t="s">
        <v>62</v>
      </c>
      <c r="C427" s="11" t="s">
        <v>176</v>
      </c>
      <c r="D427" s="11">
        <v>0</v>
      </c>
      <c r="E427" s="11">
        <v>11</v>
      </c>
      <c r="F427" s="11">
        <v>903</v>
      </c>
      <c r="G427" s="11">
        <v>83360</v>
      </c>
      <c r="H427" s="21">
        <v>850</v>
      </c>
      <c r="I427" s="20">
        <f>I428+I429</f>
        <v>803237</v>
      </c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>
        <f>T428+T429</f>
        <v>803237</v>
      </c>
      <c r="U427" s="20"/>
      <c r="V427" s="20"/>
      <c r="W427" s="20"/>
      <c r="X427" s="20"/>
      <c r="Y427" s="20">
        <f>Y428+Y429</f>
        <v>803237</v>
      </c>
      <c r="Z427" s="20"/>
      <c r="AA427" s="20"/>
      <c r="AB427" s="20"/>
      <c r="AC427" s="20"/>
      <c r="AD427" s="20">
        <f>AD428+AD429</f>
        <v>803237</v>
      </c>
      <c r="AF427" s="30"/>
      <c r="AG427" s="30"/>
      <c r="AH427" s="30"/>
      <c r="AI427" s="30"/>
      <c r="AJ427" s="30"/>
      <c r="AK427" s="30"/>
      <c r="AL427" s="30"/>
    </row>
    <row r="428" spans="1:38" s="44" customFormat="1" ht="22.5" x14ac:dyDescent="0.25">
      <c r="A428" s="5"/>
      <c r="B428" s="5" t="s">
        <v>131</v>
      </c>
      <c r="C428" s="11" t="s">
        <v>176</v>
      </c>
      <c r="D428" s="11">
        <v>0</v>
      </c>
      <c r="E428" s="11">
        <v>11</v>
      </c>
      <c r="F428" s="11">
        <v>903</v>
      </c>
      <c r="G428" s="11">
        <v>83360</v>
      </c>
      <c r="H428" s="21">
        <v>851</v>
      </c>
      <c r="I428" s="20">
        <v>803237</v>
      </c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>
        <v>803237</v>
      </c>
      <c r="U428" s="20"/>
      <c r="V428" s="20"/>
      <c r="W428" s="20"/>
      <c r="X428" s="20"/>
      <c r="Y428" s="20">
        <v>803237</v>
      </c>
      <c r="Z428" s="20"/>
      <c r="AA428" s="20"/>
      <c r="AB428" s="20"/>
      <c r="AC428" s="20"/>
      <c r="AD428" s="20">
        <v>803237</v>
      </c>
      <c r="AF428" s="30"/>
      <c r="AG428" s="30"/>
      <c r="AH428" s="30"/>
      <c r="AI428" s="30"/>
      <c r="AJ428" s="30"/>
      <c r="AK428" s="30"/>
      <c r="AL428" s="30"/>
    </row>
    <row r="429" spans="1:38" s="44" customFormat="1" hidden="1" x14ac:dyDescent="0.25">
      <c r="A429" s="5"/>
      <c r="B429" s="5" t="s">
        <v>133</v>
      </c>
      <c r="C429" s="11" t="s">
        <v>176</v>
      </c>
      <c r="D429" s="11">
        <v>0</v>
      </c>
      <c r="E429" s="11">
        <v>11</v>
      </c>
      <c r="F429" s="11">
        <v>903</v>
      </c>
      <c r="G429" s="11">
        <v>83360</v>
      </c>
      <c r="H429" s="21">
        <v>852</v>
      </c>
      <c r="I429" s="20">
        <v>0</v>
      </c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>
        <v>0</v>
      </c>
      <c r="U429" s="20"/>
      <c r="V429" s="20"/>
      <c r="W429" s="20"/>
      <c r="X429" s="20"/>
      <c r="Y429" s="20">
        <v>0</v>
      </c>
      <c r="Z429" s="20"/>
      <c r="AA429" s="20"/>
      <c r="AB429" s="20"/>
      <c r="AC429" s="20"/>
      <c r="AD429" s="20">
        <v>0</v>
      </c>
      <c r="AF429" s="30"/>
      <c r="AG429" s="30"/>
      <c r="AH429" s="30"/>
      <c r="AI429" s="30"/>
      <c r="AJ429" s="30"/>
      <c r="AK429" s="30"/>
      <c r="AL429" s="30"/>
    </row>
    <row r="430" spans="1:38" s="44" customFormat="1" ht="60" customHeight="1" x14ac:dyDescent="0.25">
      <c r="A430" s="3" t="s">
        <v>181</v>
      </c>
      <c r="B430" s="3" t="s">
        <v>182</v>
      </c>
      <c r="C430" s="13" t="s">
        <v>183</v>
      </c>
      <c r="D430" s="13"/>
      <c r="E430" s="13"/>
      <c r="F430" s="13"/>
      <c r="G430" s="13"/>
      <c r="H430" s="21"/>
      <c r="I430" s="15">
        <f t="shared" ref="I430:P430" si="81">I431+I534+I579</f>
        <v>749204972.01999998</v>
      </c>
      <c r="J430" s="15">
        <f t="shared" si="81"/>
        <v>7638853.5699999928</v>
      </c>
      <c r="K430" s="15">
        <f t="shared" si="81"/>
        <v>59780380.259999998</v>
      </c>
      <c r="L430" s="15">
        <f t="shared" si="81"/>
        <v>-665452.79</v>
      </c>
      <c r="M430" s="15">
        <f t="shared" si="81"/>
        <v>-1119228</v>
      </c>
      <c r="N430" s="15">
        <f t="shared" si="81"/>
        <v>-136353.03999999998</v>
      </c>
      <c r="O430" s="15">
        <f t="shared" si="81"/>
        <v>1032826</v>
      </c>
      <c r="P430" s="15">
        <f t="shared" si="81"/>
        <v>-2721492</v>
      </c>
      <c r="Q430" s="15"/>
      <c r="R430" s="15"/>
      <c r="S430" s="15"/>
      <c r="T430" s="15">
        <f>T431+T534+T579</f>
        <v>832636590.01999998</v>
      </c>
      <c r="U430" s="15"/>
      <c r="V430" s="15"/>
      <c r="W430" s="15"/>
      <c r="X430" s="15"/>
      <c r="Y430" s="15">
        <f>Y431+Y534+Y579</f>
        <v>754446935.03999996</v>
      </c>
      <c r="Z430" s="15"/>
      <c r="AA430" s="15"/>
      <c r="AB430" s="15"/>
      <c r="AC430" s="15"/>
      <c r="AD430" s="15">
        <f>AD431+AD534+AD579</f>
        <v>823137276.68999994</v>
      </c>
      <c r="AF430" s="30"/>
      <c r="AG430" s="30"/>
      <c r="AH430" s="30"/>
      <c r="AI430" s="30"/>
      <c r="AJ430" s="30"/>
      <c r="AK430" s="30"/>
      <c r="AL430" s="30"/>
    </row>
    <row r="431" spans="1:38" s="44" customFormat="1" ht="48" customHeight="1" x14ac:dyDescent="0.25">
      <c r="A431" s="3" t="s">
        <v>184</v>
      </c>
      <c r="B431" s="3" t="s">
        <v>185</v>
      </c>
      <c r="C431" s="13" t="s">
        <v>183</v>
      </c>
      <c r="D431" s="13">
        <v>1</v>
      </c>
      <c r="E431" s="13"/>
      <c r="F431" s="13"/>
      <c r="G431" s="13"/>
      <c r="H431" s="14"/>
      <c r="I431" s="15">
        <f t="shared" ref="I431:P431" si="82">I432+I470+I525</f>
        <v>674193178.03999996</v>
      </c>
      <c r="J431" s="15">
        <f t="shared" si="82"/>
        <v>7238853.5699999928</v>
      </c>
      <c r="K431" s="15">
        <f t="shared" si="82"/>
        <v>5085167.5</v>
      </c>
      <c r="L431" s="15">
        <f t="shared" si="82"/>
        <v>-624369.79</v>
      </c>
      <c r="M431" s="15">
        <f t="shared" si="82"/>
        <v>-1119228</v>
      </c>
      <c r="N431" s="15">
        <f t="shared" si="82"/>
        <v>-136353.03999999998</v>
      </c>
      <c r="O431" s="15">
        <f t="shared" si="82"/>
        <v>1032826</v>
      </c>
      <c r="P431" s="15">
        <f t="shared" si="82"/>
        <v>-2847292</v>
      </c>
      <c r="Q431" s="15"/>
      <c r="R431" s="15"/>
      <c r="S431" s="15"/>
      <c r="T431" s="15">
        <f>T432+T470+T525</f>
        <v>702413175.27999997</v>
      </c>
      <c r="U431" s="15"/>
      <c r="V431" s="15"/>
      <c r="W431" s="15"/>
      <c r="X431" s="15"/>
      <c r="Y431" s="15">
        <f>Y432+Y470+Y525</f>
        <v>670495536.03999996</v>
      </c>
      <c r="Z431" s="15"/>
      <c r="AA431" s="15"/>
      <c r="AB431" s="15"/>
      <c r="AC431" s="15"/>
      <c r="AD431" s="15">
        <f>AD432+AD470+AD525</f>
        <v>744278613.64999998</v>
      </c>
      <c r="AF431" s="30"/>
      <c r="AG431" s="30"/>
      <c r="AH431" s="30"/>
      <c r="AI431" s="30"/>
      <c r="AJ431" s="30"/>
      <c r="AK431" s="30"/>
      <c r="AL431" s="30"/>
    </row>
    <row r="432" spans="1:38" s="44" customFormat="1" ht="48" customHeight="1" x14ac:dyDescent="0.25">
      <c r="A432" s="3" t="s">
        <v>186</v>
      </c>
      <c r="B432" s="3" t="s">
        <v>186</v>
      </c>
      <c r="C432" s="13" t="s">
        <v>183</v>
      </c>
      <c r="D432" s="13">
        <v>1</v>
      </c>
      <c r="E432" s="13">
        <v>21</v>
      </c>
      <c r="F432" s="13"/>
      <c r="G432" s="13"/>
      <c r="H432" s="14"/>
      <c r="I432" s="15">
        <f t="shared" ref="I432:T432" si="83">I433+I458</f>
        <v>291487837.66000003</v>
      </c>
      <c r="J432" s="15">
        <f t="shared" si="83"/>
        <v>1100000</v>
      </c>
      <c r="K432" s="15">
        <f t="shared" si="83"/>
        <v>5909737</v>
      </c>
      <c r="L432" s="15">
        <f t="shared" si="83"/>
        <v>587328.94999999995</v>
      </c>
      <c r="M432" s="15">
        <f t="shared" si="83"/>
        <v>-819228</v>
      </c>
      <c r="N432" s="15"/>
      <c r="O432" s="15">
        <f t="shared" ref="O432:P432" si="84">O433+O458</f>
        <v>0</v>
      </c>
      <c r="P432" s="15">
        <f t="shared" si="84"/>
        <v>-30233</v>
      </c>
      <c r="Q432" s="15"/>
      <c r="R432" s="15"/>
      <c r="S432" s="15"/>
      <c r="T432" s="15">
        <f t="shared" si="83"/>
        <v>299115046.61000001</v>
      </c>
      <c r="U432" s="15"/>
      <c r="V432" s="15"/>
      <c r="W432" s="15"/>
      <c r="X432" s="15"/>
      <c r="Y432" s="15">
        <f>Y433</f>
        <v>252814975.21000001</v>
      </c>
      <c r="Z432" s="15"/>
      <c r="AA432" s="15"/>
      <c r="AB432" s="15"/>
      <c r="AC432" s="15"/>
      <c r="AD432" s="15">
        <f>AD433</f>
        <v>252798422.19</v>
      </c>
      <c r="AF432" s="30"/>
      <c r="AG432" s="30"/>
      <c r="AH432" s="30"/>
      <c r="AI432" s="30"/>
      <c r="AJ432" s="30"/>
      <c r="AK432" s="30"/>
      <c r="AL432" s="30"/>
    </row>
    <row r="433" spans="1:38" ht="21" x14ac:dyDescent="0.25">
      <c r="A433" s="3" t="s">
        <v>173</v>
      </c>
      <c r="B433" s="3" t="s">
        <v>173</v>
      </c>
      <c r="C433" s="13" t="s">
        <v>183</v>
      </c>
      <c r="D433" s="13">
        <v>1</v>
      </c>
      <c r="E433" s="13">
        <v>21</v>
      </c>
      <c r="F433" s="13">
        <v>921</v>
      </c>
      <c r="G433" s="13"/>
      <c r="H433" s="14"/>
      <c r="I433" s="15">
        <f>I434+I442+I446+I450+I454</f>
        <v>250149857.61000001</v>
      </c>
      <c r="J433" s="15">
        <f>J434+J442+J446+J450+J454+J438</f>
        <v>1100000</v>
      </c>
      <c r="K433" s="15">
        <f>K434+K442+K446+K450+K454+K438</f>
        <v>-2034182</v>
      </c>
      <c r="L433" s="15">
        <f>L434+L442+L446+L450+L454+L438</f>
        <v>50000</v>
      </c>
      <c r="M433" s="15">
        <f>M434+M442+M446+M450+M454+M438</f>
        <v>0</v>
      </c>
      <c r="N433" s="15"/>
      <c r="O433" s="15">
        <f>O434+O442+O446+O450+O454+O438</f>
        <v>0</v>
      </c>
      <c r="P433" s="15">
        <f>P434+P442+P446+P450+P454+P438</f>
        <v>-30233</v>
      </c>
      <c r="Q433" s="15"/>
      <c r="R433" s="15"/>
      <c r="S433" s="15"/>
      <c r="T433" s="15">
        <f>T434+T442+T446+T450+T454+T438</f>
        <v>250115046.61000001</v>
      </c>
      <c r="U433" s="15"/>
      <c r="V433" s="15"/>
      <c r="W433" s="15"/>
      <c r="X433" s="15"/>
      <c r="Y433" s="15">
        <f>Y434+Y442+Y446+Y450+Y454+Y438</f>
        <v>252814975.21000001</v>
      </c>
      <c r="Z433" s="15"/>
      <c r="AA433" s="15"/>
      <c r="AB433" s="15"/>
      <c r="AC433" s="15"/>
      <c r="AD433" s="15">
        <f>AD434+AD442+AD446+AD450+AD454+AD438</f>
        <v>252798422.19</v>
      </c>
    </row>
    <row r="434" spans="1:38" ht="42" x14ac:dyDescent="0.25">
      <c r="A434" s="3"/>
      <c r="B434" s="4" t="s">
        <v>187</v>
      </c>
      <c r="C434" s="13" t="s">
        <v>183</v>
      </c>
      <c r="D434" s="13">
        <v>1</v>
      </c>
      <c r="E434" s="13">
        <v>21</v>
      </c>
      <c r="F434" s="13">
        <v>921</v>
      </c>
      <c r="G434" s="13">
        <v>14710</v>
      </c>
      <c r="H434" s="14"/>
      <c r="I434" s="15">
        <f t="shared" ref="I434:AD436" si="85">I435</f>
        <v>193872598</v>
      </c>
      <c r="J434" s="15">
        <f t="shared" si="85"/>
        <v>-193872598</v>
      </c>
      <c r="K434" s="15"/>
      <c r="L434" s="15"/>
      <c r="M434" s="15"/>
      <c r="N434" s="15"/>
      <c r="O434" s="15"/>
      <c r="P434" s="15"/>
      <c r="Q434" s="15"/>
      <c r="R434" s="15"/>
      <c r="S434" s="15"/>
      <c r="T434" s="15">
        <f t="shared" si="85"/>
        <v>0</v>
      </c>
      <c r="U434" s="15"/>
      <c r="V434" s="15"/>
      <c r="W434" s="15"/>
      <c r="X434" s="15"/>
      <c r="Y434" s="15">
        <f t="shared" si="85"/>
        <v>0</v>
      </c>
      <c r="Z434" s="15"/>
      <c r="AA434" s="15"/>
      <c r="AB434" s="15"/>
      <c r="AC434" s="15"/>
      <c r="AD434" s="15">
        <f t="shared" si="85"/>
        <v>0</v>
      </c>
    </row>
    <row r="435" spans="1:38" ht="22.5" x14ac:dyDescent="0.25">
      <c r="A435" s="3"/>
      <c r="B435" s="5" t="s">
        <v>34</v>
      </c>
      <c r="C435" s="11" t="s">
        <v>183</v>
      </c>
      <c r="D435" s="11">
        <v>1</v>
      </c>
      <c r="E435" s="11">
        <v>21</v>
      </c>
      <c r="F435" s="11">
        <v>921</v>
      </c>
      <c r="G435" s="11">
        <v>14710</v>
      </c>
      <c r="H435" s="21" t="s">
        <v>35</v>
      </c>
      <c r="I435" s="20">
        <f t="shared" si="85"/>
        <v>193872598</v>
      </c>
      <c r="J435" s="20">
        <f t="shared" si="85"/>
        <v>-193872598</v>
      </c>
      <c r="K435" s="20"/>
      <c r="L435" s="20"/>
      <c r="M435" s="20"/>
      <c r="N435" s="20"/>
      <c r="O435" s="20"/>
      <c r="P435" s="20"/>
      <c r="Q435" s="20"/>
      <c r="R435" s="20"/>
      <c r="S435" s="20"/>
      <c r="T435" s="20">
        <f t="shared" si="85"/>
        <v>0</v>
      </c>
      <c r="U435" s="20"/>
      <c r="V435" s="20"/>
      <c r="W435" s="20"/>
      <c r="X435" s="20"/>
      <c r="Y435" s="20">
        <f t="shared" si="85"/>
        <v>0</v>
      </c>
      <c r="Z435" s="20"/>
      <c r="AA435" s="20"/>
      <c r="AB435" s="20"/>
      <c r="AC435" s="20"/>
      <c r="AD435" s="20">
        <f t="shared" si="85"/>
        <v>0</v>
      </c>
    </row>
    <row r="436" spans="1:38" x14ac:dyDescent="0.25">
      <c r="A436" s="3"/>
      <c r="B436" s="5" t="s">
        <v>36</v>
      </c>
      <c r="C436" s="11" t="s">
        <v>183</v>
      </c>
      <c r="D436" s="11">
        <v>1</v>
      </c>
      <c r="E436" s="11">
        <v>21</v>
      </c>
      <c r="F436" s="11">
        <v>921</v>
      </c>
      <c r="G436" s="11">
        <v>14710</v>
      </c>
      <c r="H436" s="21">
        <v>610</v>
      </c>
      <c r="I436" s="20">
        <f t="shared" si="85"/>
        <v>193872598</v>
      </c>
      <c r="J436" s="20">
        <f t="shared" si="85"/>
        <v>-193872598</v>
      </c>
      <c r="K436" s="20"/>
      <c r="L436" s="20"/>
      <c r="M436" s="20"/>
      <c r="N436" s="20"/>
      <c r="O436" s="20"/>
      <c r="P436" s="20"/>
      <c r="Q436" s="20"/>
      <c r="R436" s="20"/>
      <c r="S436" s="20"/>
      <c r="T436" s="20">
        <f t="shared" si="85"/>
        <v>0</v>
      </c>
      <c r="U436" s="20"/>
      <c r="V436" s="20"/>
      <c r="W436" s="20"/>
      <c r="X436" s="20"/>
      <c r="Y436" s="20">
        <f t="shared" si="85"/>
        <v>0</v>
      </c>
      <c r="Z436" s="20"/>
      <c r="AA436" s="20"/>
      <c r="AB436" s="20"/>
      <c r="AC436" s="20"/>
      <c r="AD436" s="20">
        <f t="shared" si="85"/>
        <v>0</v>
      </c>
    </row>
    <row r="437" spans="1:38" ht="45" x14ac:dyDescent="0.25">
      <c r="A437" s="3"/>
      <c r="B437" s="5" t="s">
        <v>37</v>
      </c>
      <c r="C437" s="11" t="s">
        <v>183</v>
      </c>
      <c r="D437" s="11">
        <v>1</v>
      </c>
      <c r="E437" s="11">
        <v>21</v>
      </c>
      <c r="F437" s="11">
        <v>921</v>
      </c>
      <c r="G437" s="11">
        <v>14710</v>
      </c>
      <c r="H437" s="21" t="s">
        <v>38</v>
      </c>
      <c r="I437" s="20">
        <v>193872598</v>
      </c>
      <c r="J437" s="20">
        <v>-193872598</v>
      </c>
      <c r="K437" s="20"/>
      <c r="L437" s="20"/>
      <c r="M437" s="20"/>
      <c r="N437" s="20"/>
      <c r="O437" s="20"/>
      <c r="P437" s="20"/>
      <c r="Q437" s="20"/>
      <c r="R437" s="20"/>
      <c r="S437" s="20"/>
      <c r="T437" s="20">
        <f>193872598+J437</f>
        <v>0</v>
      </c>
      <c r="U437" s="20">
        <v>-193872598</v>
      </c>
      <c r="V437" s="20"/>
      <c r="W437" s="20"/>
      <c r="X437" s="20"/>
      <c r="Y437" s="20">
        <f>193872598+U437</f>
        <v>0</v>
      </c>
      <c r="Z437" s="20">
        <v>-193872598</v>
      </c>
      <c r="AA437" s="20"/>
      <c r="AB437" s="20"/>
      <c r="AC437" s="20"/>
      <c r="AD437" s="20">
        <f>193872598+Z437</f>
        <v>0</v>
      </c>
    </row>
    <row r="438" spans="1:38" ht="42" x14ac:dyDescent="0.25">
      <c r="A438" s="3"/>
      <c r="B438" s="4" t="s">
        <v>187</v>
      </c>
      <c r="C438" s="13" t="s">
        <v>183</v>
      </c>
      <c r="D438" s="13">
        <v>1</v>
      </c>
      <c r="E438" s="13">
        <v>21</v>
      </c>
      <c r="F438" s="13">
        <v>921</v>
      </c>
      <c r="G438" s="13">
        <v>14722</v>
      </c>
      <c r="H438" s="14"/>
      <c r="I438" s="20"/>
      <c r="J438" s="20">
        <f t="shared" ref="J438:T440" si="86">J439</f>
        <v>193872598</v>
      </c>
      <c r="K438" s="20"/>
      <c r="L438" s="20"/>
      <c r="M438" s="20"/>
      <c r="N438" s="20"/>
      <c r="O438" s="20"/>
      <c r="P438" s="20"/>
      <c r="Q438" s="20"/>
      <c r="R438" s="20"/>
      <c r="S438" s="20"/>
      <c r="T438" s="20">
        <f t="shared" si="86"/>
        <v>193872598</v>
      </c>
      <c r="U438" s="20"/>
      <c r="V438" s="20"/>
      <c r="W438" s="20"/>
      <c r="X438" s="20"/>
      <c r="Y438" s="20">
        <f>Y439</f>
        <v>193872598</v>
      </c>
      <c r="Z438" s="20"/>
      <c r="AA438" s="20"/>
      <c r="AB438" s="20"/>
      <c r="AC438" s="20"/>
      <c r="AD438" s="20">
        <f>AD439</f>
        <v>193872598</v>
      </c>
    </row>
    <row r="439" spans="1:38" ht="22.5" x14ac:dyDescent="0.25">
      <c r="A439" s="3"/>
      <c r="B439" s="5" t="s">
        <v>34</v>
      </c>
      <c r="C439" s="11" t="s">
        <v>183</v>
      </c>
      <c r="D439" s="11">
        <v>1</v>
      </c>
      <c r="E439" s="11">
        <v>21</v>
      </c>
      <c r="F439" s="11">
        <v>921</v>
      </c>
      <c r="G439" s="11">
        <v>14722</v>
      </c>
      <c r="H439" s="21" t="s">
        <v>35</v>
      </c>
      <c r="I439" s="20"/>
      <c r="J439" s="20">
        <f t="shared" si="86"/>
        <v>193872598</v>
      </c>
      <c r="K439" s="20"/>
      <c r="L439" s="20"/>
      <c r="M439" s="20"/>
      <c r="N439" s="20"/>
      <c r="O439" s="20"/>
      <c r="P439" s="20"/>
      <c r="Q439" s="20"/>
      <c r="R439" s="20"/>
      <c r="S439" s="20"/>
      <c r="T439" s="20">
        <f t="shared" si="86"/>
        <v>193872598</v>
      </c>
      <c r="U439" s="20"/>
      <c r="V439" s="20"/>
      <c r="W439" s="20"/>
      <c r="X439" s="20"/>
      <c r="Y439" s="20">
        <f>Y440</f>
        <v>193872598</v>
      </c>
      <c r="Z439" s="20"/>
      <c r="AA439" s="20"/>
      <c r="AB439" s="20"/>
      <c r="AC439" s="20"/>
      <c r="AD439" s="20">
        <f>AD440</f>
        <v>193872598</v>
      </c>
    </row>
    <row r="440" spans="1:38" x14ac:dyDescent="0.25">
      <c r="A440" s="3"/>
      <c r="B440" s="5" t="s">
        <v>36</v>
      </c>
      <c r="C440" s="11" t="s">
        <v>183</v>
      </c>
      <c r="D440" s="11">
        <v>1</v>
      </c>
      <c r="E440" s="11">
        <v>21</v>
      </c>
      <c r="F440" s="11">
        <v>921</v>
      </c>
      <c r="G440" s="11">
        <v>14722</v>
      </c>
      <c r="H440" s="21">
        <v>610</v>
      </c>
      <c r="I440" s="20"/>
      <c r="J440" s="20">
        <f t="shared" si="86"/>
        <v>193872598</v>
      </c>
      <c r="K440" s="20"/>
      <c r="L440" s="20"/>
      <c r="M440" s="20"/>
      <c r="N440" s="20"/>
      <c r="O440" s="20"/>
      <c r="P440" s="20"/>
      <c r="Q440" s="20"/>
      <c r="R440" s="20"/>
      <c r="S440" s="20"/>
      <c r="T440" s="20">
        <f t="shared" si="86"/>
        <v>193872598</v>
      </c>
      <c r="U440" s="20"/>
      <c r="V440" s="20"/>
      <c r="W440" s="20"/>
      <c r="X440" s="20"/>
      <c r="Y440" s="20">
        <f>Y441</f>
        <v>193872598</v>
      </c>
      <c r="Z440" s="20"/>
      <c r="AA440" s="20"/>
      <c r="AB440" s="20"/>
      <c r="AC440" s="20"/>
      <c r="AD440" s="20">
        <f>AD441</f>
        <v>193872598</v>
      </c>
    </row>
    <row r="441" spans="1:38" ht="45" x14ac:dyDescent="0.25">
      <c r="A441" s="3"/>
      <c r="B441" s="5" t="s">
        <v>37</v>
      </c>
      <c r="C441" s="11" t="s">
        <v>183</v>
      </c>
      <c r="D441" s="11">
        <v>1</v>
      </c>
      <c r="E441" s="11">
        <v>21</v>
      </c>
      <c r="F441" s="11">
        <v>921</v>
      </c>
      <c r="G441" s="11">
        <v>14722</v>
      </c>
      <c r="H441" s="21" t="s">
        <v>38</v>
      </c>
      <c r="I441" s="20"/>
      <c r="J441" s="20">
        <v>193872598</v>
      </c>
      <c r="K441" s="20"/>
      <c r="L441" s="20"/>
      <c r="M441" s="20"/>
      <c r="N441" s="20"/>
      <c r="O441" s="20"/>
      <c r="P441" s="20"/>
      <c r="Q441" s="20"/>
      <c r="R441" s="20"/>
      <c r="S441" s="20"/>
      <c r="T441" s="20">
        <f>J441</f>
        <v>193872598</v>
      </c>
      <c r="U441" s="20">
        <v>193872598</v>
      </c>
      <c r="V441" s="20"/>
      <c r="W441" s="20"/>
      <c r="X441" s="20"/>
      <c r="Y441" s="20">
        <f>U441</f>
        <v>193872598</v>
      </c>
      <c r="Z441" s="20">
        <v>193872598</v>
      </c>
      <c r="AA441" s="20"/>
      <c r="AB441" s="20"/>
      <c r="AC441" s="20"/>
      <c r="AD441" s="20">
        <f>Z441</f>
        <v>193872598</v>
      </c>
    </row>
    <row r="442" spans="1:38" x14ac:dyDescent="0.25">
      <c r="A442" s="3" t="s">
        <v>188</v>
      </c>
      <c r="B442" s="3" t="s">
        <v>188</v>
      </c>
      <c r="C442" s="13" t="s">
        <v>183</v>
      </c>
      <c r="D442" s="13">
        <v>1</v>
      </c>
      <c r="E442" s="13">
        <v>21</v>
      </c>
      <c r="F442" s="13">
        <v>921</v>
      </c>
      <c r="G442" s="13">
        <v>80300</v>
      </c>
      <c r="H442" s="14"/>
      <c r="I442" s="15">
        <f t="shared" ref="I442:AD444" si="87">I443</f>
        <v>34775378.609999999</v>
      </c>
      <c r="J442" s="15">
        <f t="shared" si="87"/>
        <v>1100000</v>
      </c>
      <c r="K442" s="15">
        <f t="shared" si="87"/>
        <v>-2034182</v>
      </c>
      <c r="L442" s="15">
        <f t="shared" si="87"/>
        <v>50000</v>
      </c>
      <c r="M442" s="15"/>
      <c r="N442" s="15"/>
      <c r="O442" s="15">
        <f t="shared" si="87"/>
        <v>0</v>
      </c>
      <c r="P442" s="15">
        <f t="shared" si="87"/>
        <v>-30233</v>
      </c>
      <c r="Q442" s="15"/>
      <c r="R442" s="15"/>
      <c r="S442" s="15"/>
      <c r="T442" s="15">
        <f t="shared" si="87"/>
        <v>37984373.609999999</v>
      </c>
      <c r="U442" s="15"/>
      <c r="V442" s="15"/>
      <c r="W442" s="15"/>
      <c r="X442" s="15"/>
      <c r="Y442" s="15">
        <f t="shared" si="87"/>
        <v>37440496.210000001</v>
      </c>
      <c r="Z442" s="15"/>
      <c r="AA442" s="15"/>
      <c r="AB442" s="15"/>
      <c r="AC442" s="15"/>
      <c r="AD442" s="15">
        <f t="shared" si="87"/>
        <v>38427958.82</v>
      </c>
    </row>
    <row r="443" spans="1:38" ht="33.75" x14ac:dyDescent="0.25">
      <c r="A443" s="5" t="s">
        <v>34</v>
      </c>
      <c r="B443" s="5" t="s">
        <v>34</v>
      </c>
      <c r="C443" s="11" t="s">
        <v>183</v>
      </c>
      <c r="D443" s="11">
        <v>1</v>
      </c>
      <c r="E443" s="11">
        <v>21</v>
      </c>
      <c r="F443" s="11">
        <v>921</v>
      </c>
      <c r="G443" s="11">
        <v>80300</v>
      </c>
      <c r="H443" s="21" t="s">
        <v>35</v>
      </c>
      <c r="I443" s="20">
        <f t="shared" si="87"/>
        <v>34775378.609999999</v>
      </c>
      <c r="J443" s="20">
        <f t="shared" si="87"/>
        <v>1100000</v>
      </c>
      <c r="K443" s="20">
        <f t="shared" si="87"/>
        <v>-2034182</v>
      </c>
      <c r="L443" s="20">
        <f t="shared" si="87"/>
        <v>50000</v>
      </c>
      <c r="M443" s="20"/>
      <c r="N443" s="20"/>
      <c r="O443" s="20">
        <f t="shared" si="87"/>
        <v>0</v>
      </c>
      <c r="P443" s="20">
        <f t="shared" si="87"/>
        <v>-30233</v>
      </c>
      <c r="Q443" s="20"/>
      <c r="R443" s="20"/>
      <c r="S443" s="20"/>
      <c r="T443" s="20">
        <f t="shared" si="87"/>
        <v>37984373.609999999</v>
      </c>
      <c r="U443" s="20"/>
      <c r="V443" s="20"/>
      <c r="W443" s="20"/>
      <c r="X443" s="20"/>
      <c r="Y443" s="20">
        <f t="shared" si="87"/>
        <v>37440496.210000001</v>
      </c>
      <c r="Z443" s="20"/>
      <c r="AA443" s="20"/>
      <c r="AB443" s="20"/>
      <c r="AC443" s="20"/>
      <c r="AD443" s="20">
        <f t="shared" si="87"/>
        <v>38427958.82</v>
      </c>
    </row>
    <row r="444" spans="1:38" x14ac:dyDescent="0.25">
      <c r="A444" s="5" t="s">
        <v>36</v>
      </c>
      <c r="B444" s="5" t="s">
        <v>36</v>
      </c>
      <c r="C444" s="11" t="s">
        <v>183</v>
      </c>
      <c r="D444" s="11">
        <v>1</v>
      </c>
      <c r="E444" s="11">
        <v>21</v>
      </c>
      <c r="F444" s="11">
        <v>921</v>
      </c>
      <c r="G444" s="11">
        <v>80300</v>
      </c>
      <c r="H444" s="21">
        <v>610</v>
      </c>
      <c r="I444" s="20">
        <f t="shared" si="87"/>
        <v>34775378.609999999</v>
      </c>
      <c r="J444" s="20">
        <f t="shared" si="87"/>
        <v>1100000</v>
      </c>
      <c r="K444" s="20">
        <f t="shared" si="87"/>
        <v>-2034182</v>
      </c>
      <c r="L444" s="20">
        <f t="shared" si="87"/>
        <v>50000</v>
      </c>
      <c r="M444" s="20"/>
      <c r="N444" s="20"/>
      <c r="O444" s="20">
        <f t="shared" si="87"/>
        <v>0</v>
      </c>
      <c r="P444" s="20">
        <f t="shared" si="87"/>
        <v>-30233</v>
      </c>
      <c r="Q444" s="20"/>
      <c r="R444" s="20"/>
      <c r="S444" s="20"/>
      <c r="T444" s="20">
        <f t="shared" si="87"/>
        <v>37984373.609999999</v>
      </c>
      <c r="U444" s="20"/>
      <c r="V444" s="20"/>
      <c r="W444" s="20"/>
      <c r="X444" s="20"/>
      <c r="Y444" s="20">
        <f t="shared" si="87"/>
        <v>37440496.210000001</v>
      </c>
      <c r="Z444" s="20"/>
      <c r="AA444" s="20"/>
      <c r="AB444" s="20"/>
      <c r="AC444" s="20"/>
      <c r="AD444" s="20">
        <f t="shared" si="87"/>
        <v>38427958.82</v>
      </c>
    </row>
    <row r="445" spans="1:38" s="44" customFormat="1" ht="56.25" x14ac:dyDescent="0.25">
      <c r="A445" s="5" t="s">
        <v>37</v>
      </c>
      <c r="B445" s="5" t="s">
        <v>37</v>
      </c>
      <c r="C445" s="11" t="s">
        <v>183</v>
      </c>
      <c r="D445" s="11">
        <v>1</v>
      </c>
      <c r="E445" s="11">
        <v>21</v>
      </c>
      <c r="F445" s="11">
        <v>921</v>
      </c>
      <c r="G445" s="11">
        <v>80300</v>
      </c>
      <c r="H445" s="21" t="s">
        <v>38</v>
      </c>
      <c r="I445" s="20">
        <v>34775378.609999999</v>
      </c>
      <c r="J445" s="20">
        <v>1100000</v>
      </c>
      <c r="K445" s="20">
        <v>-2034182</v>
      </c>
      <c r="L445" s="20">
        <v>50000</v>
      </c>
      <c r="M445" s="20"/>
      <c r="N445" s="20"/>
      <c r="O445" s="20">
        <v>0</v>
      </c>
      <c r="P445" s="20">
        <v>-30233</v>
      </c>
      <c r="Q445" s="20"/>
      <c r="R445" s="20"/>
      <c r="S445" s="20">
        <v>4123410</v>
      </c>
      <c r="T445" s="20">
        <f>34775378.61+J445+K445+L445+O445+P445+S445</f>
        <v>37984373.609999999</v>
      </c>
      <c r="U445" s="20"/>
      <c r="V445" s="20"/>
      <c r="W445" s="20"/>
      <c r="X445" s="20"/>
      <c r="Y445" s="20">
        <v>37440496.210000001</v>
      </c>
      <c r="Z445" s="20"/>
      <c r="AA445" s="20"/>
      <c r="AB445" s="20"/>
      <c r="AC445" s="20"/>
      <c r="AD445" s="20">
        <v>38427958.82</v>
      </c>
      <c r="AF445" s="30"/>
      <c r="AG445" s="30"/>
      <c r="AH445" s="30"/>
      <c r="AI445" s="30"/>
      <c r="AJ445" s="30"/>
      <c r="AK445" s="30"/>
      <c r="AL445" s="30"/>
    </row>
    <row r="446" spans="1:38" s="44" customFormat="1" ht="21" x14ac:dyDescent="0.25">
      <c r="A446" s="5"/>
      <c r="B446" s="49" t="s">
        <v>189</v>
      </c>
      <c r="C446" s="13" t="s">
        <v>183</v>
      </c>
      <c r="D446" s="13">
        <v>1</v>
      </c>
      <c r="E446" s="13">
        <v>21</v>
      </c>
      <c r="F446" s="13">
        <v>921</v>
      </c>
      <c r="G446" s="13">
        <v>82350</v>
      </c>
      <c r="H446" s="14"/>
      <c r="I446" s="15">
        <f t="shared" ref="I446:AD448" si="88">I447</f>
        <v>11918460</v>
      </c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>
        <f t="shared" si="88"/>
        <v>8746982</v>
      </c>
      <c r="U446" s="15"/>
      <c r="V446" s="15"/>
      <c r="W446" s="15"/>
      <c r="X446" s="15"/>
      <c r="Y446" s="15">
        <f t="shared" si="88"/>
        <v>11918460</v>
      </c>
      <c r="Z446" s="15"/>
      <c r="AA446" s="15"/>
      <c r="AB446" s="15"/>
      <c r="AC446" s="15"/>
      <c r="AD446" s="15">
        <f t="shared" si="88"/>
        <v>10914444.369999999</v>
      </c>
      <c r="AF446" s="30"/>
      <c r="AG446" s="30"/>
      <c r="AH446" s="30"/>
      <c r="AI446" s="30"/>
      <c r="AJ446" s="30"/>
      <c r="AK446" s="30"/>
      <c r="AL446" s="30"/>
    </row>
    <row r="447" spans="1:38" s="44" customFormat="1" ht="22.5" x14ac:dyDescent="0.25">
      <c r="A447" s="5"/>
      <c r="B447" s="5" t="s">
        <v>34</v>
      </c>
      <c r="C447" s="11" t="s">
        <v>183</v>
      </c>
      <c r="D447" s="11">
        <v>1</v>
      </c>
      <c r="E447" s="11">
        <v>21</v>
      </c>
      <c r="F447" s="11">
        <v>921</v>
      </c>
      <c r="G447" s="11">
        <v>82350</v>
      </c>
      <c r="H447" s="21" t="s">
        <v>35</v>
      </c>
      <c r="I447" s="20">
        <f t="shared" si="88"/>
        <v>11918460</v>
      </c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>
        <f t="shared" si="88"/>
        <v>8746982</v>
      </c>
      <c r="U447" s="20"/>
      <c r="V447" s="20"/>
      <c r="W447" s="20"/>
      <c r="X447" s="20"/>
      <c r="Y447" s="20">
        <f t="shared" si="88"/>
        <v>11918460</v>
      </c>
      <c r="Z447" s="20"/>
      <c r="AA447" s="20"/>
      <c r="AB447" s="20"/>
      <c r="AC447" s="20"/>
      <c r="AD447" s="20">
        <f t="shared" si="88"/>
        <v>10914444.369999999</v>
      </c>
      <c r="AF447" s="30"/>
      <c r="AG447" s="30"/>
      <c r="AH447" s="30"/>
      <c r="AI447" s="30"/>
      <c r="AJ447" s="30"/>
      <c r="AK447" s="30"/>
      <c r="AL447" s="30"/>
    </row>
    <row r="448" spans="1:38" s="44" customFormat="1" x14ac:dyDescent="0.25">
      <c r="A448" s="5"/>
      <c r="B448" s="5" t="s">
        <v>36</v>
      </c>
      <c r="C448" s="11" t="s">
        <v>183</v>
      </c>
      <c r="D448" s="11">
        <v>1</v>
      </c>
      <c r="E448" s="11">
        <v>21</v>
      </c>
      <c r="F448" s="11">
        <v>921</v>
      </c>
      <c r="G448" s="11">
        <v>82350</v>
      </c>
      <c r="H448" s="21">
        <v>610</v>
      </c>
      <c r="I448" s="20">
        <f t="shared" si="88"/>
        <v>11918460</v>
      </c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>
        <f t="shared" si="88"/>
        <v>8746982</v>
      </c>
      <c r="U448" s="20"/>
      <c r="V448" s="20"/>
      <c r="W448" s="20"/>
      <c r="X448" s="20"/>
      <c r="Y448" s="20">
        <f t="shared" si="88"/>
        <v>11918460</v>
      </c>
      <c r="Z448" s="20"/>
      <c r="AA448" s="20"/>
      <c r="AB448" s="20"/>
      <c r="AC448" s="20"/>
      <c r="AD448" s="20">
        <f t="shared" si="88"/>
        <v>10914444.369999999</v>
      </c>
      <c r="AF448" s="30"/>
      <c r="AG448" s="30"/>
      <c r="AH448" s="30"/>
      <c r="AI448" s="30"/>
      <c r="AJ448" s="30"/>
      <c r="AK448" s="30"/>
      <c r="AL448" s="30"/>
    </row>
    <row r="449" spans="1:38" s="44" customFormat="1" ht="45" x14ac:dyDescent="0.25">
      <c r="A449" s="5"/>
      <c r="B449" s="5" t="s">
        <v>37</v>
      </c>
      <c r="C449" s="11" t="s">
        <v>183</v>
      </c>
      <c r="D449" s="11">
        <v>1</v>
      </c>
      <c r="E449" s="11">
        <v>21</v>
      </c>
      <c r="F449" s="11">
        <v>921</v>
      </c>
      <c r="G449" s="11">
        <v>82350</v>
      </c>
      <c r="H449" s="21" t="s">
        <v>38</v>
      </c>
      <c r="I449" s="20">
        <v>11918460</v>
      </c>
      <c r="J449" s="20">
        <v>0</v>
      </c>
      <c r="K449" s="20"/>
      <c r="L449" s="20"/>
      <c r="M449" s="20"/>
      <c r="N449" s="20"/>
      <c r="O449" s="20"/>
      <c r="P449" s="20"/>
      <c r="Q449" s="20"/>
      <c r="R449" s="20"/>
      <c r="S449" s="20">
        <v>-3171478</v>
      </c>
      <c r="T449" s="20">
        <f>11918460+J449+S449</f>
        <v>8746982</v>
      </c>
      <c r="U449" s="20"/>
      <c r="V449" s="20"/>
      <c r="W449" s="20"/>
      <c r="X449" s="20"/>
      <c r="Y449" s="20">
        <v>11918460</v>
      </c>
      <c r="Z449" s="20"/>
      <c r="AA449" s="20"/>
      <c r="AB449" s="20"/>
      <c r="AC449" s="20"/>
      <c r="AD449" s="20">
        <v>10914444.369999999</v>
      </c>
      <c r="AF449" s="30"/>
      <c r="AG449" s="30"/>
      <c r="AH449" s="30"/>
      <c r="AI449" s="30"/>
      <c r="AJ449" s="30"/>
      <c r="AK449" s="30"/>
      <c r="AL449" s="30"/>
    </row>
    <row r="450" spans="1:38" s="44" customFormat="1" ht="21" x14ac:dyDescent="0.25">
      <c r="A450" s="3"/>
      <c r="B450" s="3" t="s">
        <v>127</v>
      </c>
      <c r="C450" s="13" t="s">
        <v>183</v>
      </c>
      <c r="D450" s="13">
        <v>1</v>
      </c>
      <c r="E450" s="13">
        <v>21</v>
      </c>
      <c r="F450" s="13">
        <v>921</v>
      </c>
      <c r="G450" s="13">
        <v>83360</v>
      </c>
      <c r="H450" s="14"/>
      <c r="I450" s="15">
        <f t="shared" ref="I450:AD452" si="89">I451</f>
        <v>9583421</v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>
        <f t="shared" si="89"/>
        <v>9511093</v>
      </c>
      <c r="U450" s="15"/>
      <c r="V450" s="15"/>
      <c r="W450" s="15"/>
      <c r="X450" s="15"/>
      <c r="Y450" s="15">
        <f t="shared" si="89"/>
        <v>9583421</v>
      </c>
      <c r="Z450" s="15"/>
      <c r="AA450" s="15"/>
      <c r="AB450" s="15"/>
      <c r="AC450" s="15"/>
      <c r="AD450" s="15">
        <f t="shared" si="89"/>
        <v>9583421</v>
      </c>
      <c r="AF450" s="30"/>
      <c r="AG450" s="30"/>
      <c r="AH450" s="30"/>
      <c r="AI450" s="30"/>
      <c r="AJ450" s="30"/>
      <c r="AK450" s="30"/>
      <c r="AL450" s="30"/>
    </row>
    <row r="451" spans="1:38" s="44" customFormat="1" ht="22.5" x14ac:dyDescent="0.25">
      <c r="A451" s="5"/>
      <c r="B451" s="5" t="s">
        <v>34</v>
      </c>
      <c r="C451" s="11" t="s">
        <v>183</v>
      </c>
      <c r="D451" s="11">
        <v>1</v>
      </c>
      <c r="E451" s="11">
        <v>21</v>
      </c>
      <c r="F451" s="11">
        <v>921</v>
      </c>
      <c r="G451" s="11">
        <v>83360</v>
      </c>
      <c r="H451" s="21" t="s">
        <v>35</v>
      </c>
      <c r="I451" s="20">
        <f t="shared" si="89"/>
        <v>9583421</v>
      </c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>
        <f t="shared" si="89"/>
        <v>9511093</v>
      </c>
      <c r="U451" s="20"/>
      <c r="V451" s="20"/>
      <c r="W451" s="20"/>
      <c r="X451" s="20"/>
      <c r="Y451" s="20">
        <f t="shared" si="89"/>
        <v>9583421</v>
      </c>
      <c r="Z451" s="20"/>
      <c r="AA451" s="20"/>
      <c r="AB451" s="20"/>
      <c r="AC451" s="20"/>
      <c r="AD451" s="20">
        <f t="shared" si="89"/>
        <v>9583421</v>
      </c>
      <c r="AF451" s="30"/>
      <c r="AG451" s="30"/>
      <c r="AH451" s="30"/>
      <c r="AI451" s="30"/>
      <c r="AJ451" s="30"/>
      <c r="AK451" s="30"/>
      <c r="AL451" s="30"/>
    </row>
    <row r="452" spans="1:38" s="44" customFormat="1" x14ac:dyDescent="0.25">
      <c r="A452" s="5"/>
      <c r="B452" s="5" t="s">
        <v>36</v>
      </c>
      <c r="C452" s="11" t="s">
        <v>183</v>
      </c>
      <c r="D452" s="11">
        <v>1</v>
      </c>
      <c r="E452" s="11">
        <v>21</v>
      </c>
      <c r="F452" s="11">
        <v>921</v>
      </c>
      <c r="G452" s="11">
        <v>83360</v>
      </c>
      <c r="H452" s="21">
        <v>610</v>
      </c>
      <c r="I452" s="20">
        <f t="shared" si="89"/>
        <v>9583421</v>
      </c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>
        <f t="shared" si="89"/>
        <v>9511093</v>
      </c>
      <c r="U452" s="20"/>
      <c r="V452" s="20"/>
      <c r="W452" s="20"/>
      <c r="X452" s="20"/>
      <c r="Y452" s="20">
        <f t="shared" si="89"/>
        <v>9583421</v>
      </c>
      <c r="Z452" s="20"/>
      <c r="AA452" s="20"/>
      <c r="AB452" s="20"/>
      <c r="AC452" s="20"/>
      <c r="AD452" s="20">
        <f t="shared" si="89"/>
        <v>9583421</v>
      </c>
      <c r="AF452" s="30"/>
      <c r="AG452" s="30"/>
      <c r="AH452" s="30"/>
      <c r="AI452" s="30"/>
      <c r="AJ452" s="30"/>
      <c r="AK452" s="30"/>
      <c r="AL452" s="30"/>
    </row>
    <row r="453" spans="1:38" s="44" customFormat="1" ht="45" x14ac:dyDescent="0.25">
      <c r="A453" s="5"/>
      <c r="B453" s="5" t="s">
        <v>37</v>
      </c>
      <c r="C453" s="11" t="s">
        <v>183</v>
      </c>
      <c r="D453" s="11">
        <v>1</v>
      </c>
      <c r="E453" s="11">
        <v>21</v>
      </c>
      <c r="F453" s="11">
        <v>921</v>
      </c>
      <c r="G453" s="11">
        <v>83360</v>
      </c>
      <c r="H453" s="21" t="s">
        <v>38</v>
      </c>
      <c r="I453" s="20">
        <v>9583421</v>
      </c>
      <c r="J453" s="20">
        <v>0</v>
      </c>
      <c r="K453" s="20"/>
      <c r="L453" s="20"/>
      <c r="M453" s="20"/>
      <c r="N453" s="20"/>
      <c r="O453" s="20"/>
      <c r="P453" s="20"/>
      <c r="Q453" s="20"/>
      <c r="R453" s="20"/>
      <c r="S453" s="20">
        <v>-72328</v>
      </c>
      <c r="T453" s="20">
        <f>9583421+S453</f>
        <v>9511093</v>
      </c>
      <c r="U453" s="20"/>
      <c r="V453" s="20"/>
      <c r="W453" s="20"/>
      <c r="X453" s="20"/>
      <c r="Y453" s="20">
        <v>9583421</v>
      </c>
      <c r="Z453" s="20"/>
      <c r="AA453" s="20"/>
      <c r="AB453" s="20"/>
      <c r="AC453" s="20"/>
      <c r="AD453" s="20">
        <v>9583421</v>
      </c>
      <c r="AF453" s="30"/>
      <c r="AG453" s="30"/>
      <c r="AH453" s="30"/>
      <c r="AI453" s="30"/>
      <c r="AJ453" s="30"/>
      <c r="AK453" s="30"/>
      <c r="AL453" s="30"/>
    </row>
    <row r="454" spans="1:38" s="44" customFormat="1" ht="31.5" hidden="1" x14ac:dyDescent="0.25">
      <c r="A454" s="5"/>
      <c r="B454" s="3" t="s">
        <v>190</v>
      </c>
      <c r="C454" s="13" t="s">
        <v>183</v>
      </c>
      <c r="D454" s="13">
        <v>1</v>
      </c>
      <c r="E454" s="13">
        <v>21</v>
      </c>
      <c r="F454" s="13">
        <v>921</v>
      </c>
      <c r="G454" s="13" t="s">
        <v>191</v>
      </c>
      <c r="H454" s="14"/>
      <c r="I454" s="15">
        <f>I455</f>
        <v>0</v>
      </c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>
        <f>T455</f>
        <v>0</v>
      </c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F454" s="30"/>
      <c r="AG454" s="30"/>
      <c r="AH454" s="30"/>
      <c r="AI454" s="30"/>
      <c r="AJ454" s="30"/>
      <c r="AK454" s="30"/>
      <c r="AL454" s="30"/>
    </row>
    <row r="455" spans="1:38" s="44" customFormat="1" ht="45" hidden="1" x14ac:dyDescent="0.25">
      <c r="A455" s="5"/>
      <c r="B455" s="5" t="s">
        <v>34</v>
      </c>
      <c r="C455" s="11" t="s">
        <v>183</v>
      </c>
      <c r="D455" s="11">
        <v>1</v>
      </c>
      <c r="E455" s="11">
        <v>21</v>
      </c>
      <c r="F455" s="11">
        <v>921</v>
      </c>
      <c r="G455" s="11" t="s">
        <v>191</v>
      </c>
      <c r="H455" s="21">
        <v>600</v>
      </c>
      <c r="I455" s="20">
        <f>I456</f>
        <v>0</v>
      </c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>
        <f>T456</f>
        <v>0</v>
      </c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F455" s="30"/>
      <c r="AG455" s="30"/>
      <c r="AH455" s="30"/>
      <c r="AI455" s="30"/>
      <c r="AJ455" s="30"/>
      <c r="AK455" s="30"/>
      <c r="AL455" s="30"/>
    </row>
    <row r="456" spans="1:38" s="44" customFormat="1" hidden="1" x14ac:dyDescent="0.25">
      <c r="A456" s="5"/>
      <c r="B456" s="5" t="s">
        <v>36</v>
      </c>
      <c r="C456" s="11" t="s">
        <v>183</v>
      </c>
      <c r="D456" s="11">
        <v>1</v>
      </c>
      <c r="E456" s="11">
        <v>21</v>
      </c>
      <c r="F456" s="11">
        <v>921</v>
      </c>
      <c r="G456" s="11" t="s">
        <v>191</v>
      </c>
      <c r="H456" s="21">
        <v>610</v>
      </c>
      <c r="I456" s="20">
        <f>I457</f>
        <v>0</v>
      </c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>
        <f>T457</f>
        <v>0</v>
      </c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F456" s="30"/>
      <c r="AG456" s="30"/>
      <c r="AH456" s="30"/>
      <c r="AI456" s="30"/>
      <c r="AJ456" s="30"/>
      <c r="AK456" s="30"/>
      <c r="AL456" s="30"/>
    </row>
    <row r="457" spans="1:38" s="44" customFormat="1" ht="22.5" hidden="1" x14ac:dyDescent="0.25">
      <c r="A457" s="5"/>
      <c r="B457" s="5" t="s">
        <v>108</v>
      </c>
      <c r="C457" s="11" t="s">
        <v>183</v>
      </c>
      <c r="D457" s="11">
        <v>1</v>
      </c>
      <c r="E457" s="11">
        <v>21</v>
      </c>
      <c r="F457" s="11">
        <v>921</v>
      </c>
      <c r="G457" s="11" t="s">
        <v>191</v>
      </c>
      <c r="H457" s="21">
        <v>612</v>
      </c>
      <c r="I457" s="20">
        <v>0</v>
      </c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>
        <v>0</v>
      </c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F457" s="30"/>
      <c r="AG457" s="30"/>
      <c r="AH457" s="30"/>
      <c r="AI457" s="30"/>
      <c r="AJ457" s="30"/>
      <c r="AK457" s="30"/>
      <c r="AL457" s="30"/>
    </row>
    <row r="458" spans="1:38" s="44" customFormat="1" ht="10.5" x14ac:dyDescent="0.25">
      <c r="A458" s="3"/>
      <c r="B458" s="3" t="s">
        <v>20</v>
      </c>
      <c r="C458" s="13" t="s">
        <v>183</v>
      </c>
      <c r="D458" s="13">
        <v>1</v>
      </c>
      <c r="E458" s="13">
        <v>21</v>
      </c>
      <c r="F458" s="13">
        <v>902</v>
      </c>
      <c r="G458" s="13"/>
      <c r="H458" s="14"/>
      <c r="I458" s="15">
        <f>I459</f>
        <v>41337980.049999997</v>
      </c>
      <c r="J458" s="15">
        <f>J459+J463</f>
        <v>0</v>
      </c>
      <c r="K458" s="15">
        <f>K459+K463</f>
        <v>7943919</v>
      </c>
      <c r="L458" s="15">
        <f>L459+L463</f>
        <v>537328.94999999995</v>
      </c>
      <c r="M458" s="15">
        <f>M459+M463</f>
        <v>-819228</v>
      </c>
      <c r="N458" s="15"/>
      <c r="O458" s="15"/>
      <c r="P458" s="15"/>
      <c r="Q458" s="15"/>
      <c r="R458" s="15"/>
      <c r="S458" s="15"/>
      <c r="T458" s="15">
        <f>T459+T463</f>
        <v>49000000</v>
      </c>
      <c r="U458" s="15"/>
      <c r="V458" s="15"/>
      <c r="W458" s="15"/>
      <c r="X458" s="15"/>
      <c r="Y458" s="15">
        <f>Y459+Y463</f>
        <v>0</v>
      </c>
      <c r="Z458" s="15"/>
      <c r="AA458" s="15"/>
      <c r="AB458" s="15"/>
      <c r="AC458" s="15"/>
      <c r="AD458" s="15">
        <f>AD459+AD463</f>
        <v>0</v>
      </c>
      <c r="AF458" s="30"/>
      <c r="AG458" s="30"/>
      <c r="AH458" s="30"/>
      <c r="AI458" s="30"/>
      <c r="AJ458" s="30"/>
      <c r="AK458" s="30"/>
      <c r="AL458" s="30"/>
    </row>
    <row r="459" spans="1:38" s="44" customFormat="1" ht="21" x14ac:dyDescent="0.25">
      <c r="A459" s="3"/>
      <c r="B459" s="3" t="s">
        <v>141</v>
      </c>
      <c r="C459" s="13" t="s">
        <v>183</v>
      </c>
      <c r="D459" s="13">
        <v>1</v>
      </c>
      <c r="E459" s="13">
        <v>21</v>
      </c>
      <c r="F459" s="13">
        <v>902</v>
      </c>
      <c r="G459" s="13" t="s">
        <v>142</v>
      </c>
      <c r="H459" s="14"/>
      <c r="I459" s="15">
        <f t="shared" ref="I459:AD461" si="90">I460</f>
        <v>41337980.049999997</v>
      </c>
      <c r="J459" s="15">
        <f t="shared" si="90"/>
        <v>-41337980.049999997</v>
      </c>
      <c r="K459" s="15"/>
      <c r="L459" s="15">
        <f t="shared" si="90"/>
        <v>0</v>
      </c>
      <c r="M459" s="15"/>
      <c r="N459" s="15"/>
      <c r="O459" s="15"/>
      <c r="P459" s="15"/>
      <c r="Q459" s="15"/>
      <c r="R459" s="15"/>
      <c r="S459" s="15"/>
      <c r="T459" s="15">
        <f t="shared" si="90"/>
        <v>0</v>
      </c>
      <c r="U459" s="15"/>
      <c r="V459" s="15"/>
      <c r="W459" s="15"/>
      <c r="X459" s="15"/>
      <c r="Y459" s="15">
        <f t="shared" si="90"/>
        <v>0</v>
      </c>
      <c r="Z459" s="15"/>
      <c r="AA459" s="15"/>
      <c r="AB459" s="15"/>
      <c r="AC459" s="15"/>
      <c r="AD459" s="15">
        <f t="shared" si="90"/>
        <v>0</v>
      </c>
      <c r="AF459" s="30"/>
      <c r="AG459" s="30"/>
      <c r="AH459" s="30"/>
      <c r="AI459" s="30"/>
      <c r="AJ459" s="30"/>
      <c r="AK459" s="30"/>
      <c r="AL459" s="30"/>
    </row>
    <row r="460" spans="1:38" s="44" customFormat="1" ht="22.5" x14ac:dyDescent="0.25">
      <c r="A460" s="5"/>
      <c r="B460" s="5" t="s">
        <v>70</v>
      </c>
      <c r="C460" s="11" t="s">
        <v>183</v>
      </c>
      <c r="D460" s="11">
        <v>1</v>
      </c>
      <c r="E460" s="11">
        <v>21</v>
      </c>
      <c r="F460" s="11">
        <v>902</v>
      </c>
      <c r="G460" s="11" t="s">
        <v>142</v>
      </c>
      <c r="H460" s="21">
        <v>400</v>
      </c>
      <c r="I460" s="20">
        <f t="shared" si="90"/>
        <v>41337980.049999997</v>
      </c>
      <c r="J460" s="20">
        <f t="shared" si="90"/>
        <v>-41337980.049999997</v>
      </c>
      <c r="K460" s="20"/>
      <c r="L460" s="20"/>
      <c r="M460" s="20"/>
      <c r="N460" s="20"/>
      <c r="O460" s="20"/>
      <c r="P460" s="20"/>
      <c r="Q460" s="20"/>
      <c r="R460" s="20"/>
      <c r="S460" s="20"/>
      <c r="T460" s="20">
        <f t="shared" si="90"/>
        <v>0</v>
      </c>
      <c r="U460" s="20"/>
      <c r="V460" s="20"/>
      <c r="W460" s="20"/>
      <c r="X460" s="20"/>
      <c r="Y460" s="20">
        <f t="shared" si="90"/>
        <v>0</v>
      </c>
      <c r="Z460" s="20"/>
      <c r="AA460" s="20"/>
      <c r="AB460" s="20"/>
      <c r="AC460" s="20"/>
      <c r="AD460" s="20">
        <f t="shared" si="90"/>
        <v>0</v>
      </c>
      <c r="AF460" s="30"/>
      <c r="AG460" s="30"/>
      <c r="AH460" s="30"/>
      <c r="AI460" s="30"/>
      <c r="AJ460" s="30"/>
      <c r="AK460" s="30"/>
      <c r="AL460" s="30"/>
    </row>
    <row r="461" spans="1:38" s="44" customFormat="1" x14ac:dyDescent="0.25">
      <c r="A461" s="5"/>
      <c r="B461" s="5" t="s">
        <v>71</v>
      </c>
      <c r="C461" s="11" t="s">
        <v>183</v>
      </c>
      <c r="D461" s="11">
        <v>1</v>
      </c>
      <c r="E461" s="11">
        <v>21</v>
      </c>
      <c r="F461" s="11">
        <v>902</v>
      </c>
      <c r="G461" s="11" t="s">
        <v>142</v>
      </c>
      <c r="H461" s="21">
        <v>410</v>
      </c>
      <c r="I461" s="20">
        <f t="shared" si="90"/>
        <v>41337980.049999997</v>
      </c>
      <c r="J461" s="20">
        <f t="shared" si="90"/>
        <v>-41337980.049999997</v>
      </c>
      <c r="K461" s="20"/>
      <c r="L461" s="20"/>
      <c r="M461" s="20"/>
      <c r="N461" s="20"/>
      <c r="O461" s="20"/>
      <c r="P461" s="20"/>
      <c r="Q461" s="20"/>
      <c r="R461" s="20"/>
      <c r="S461" s="20"/>
      <c r="T461" s="20">
        <f t="shared" si="90"/>
        <v>0</v>
      </c>
      <c r="U461" s="20"/>
      <c r="V461" s="20"/>
      <c r="W461" s="20"/>
      <c r="X461" s="20"/>
      <c r="Y461" s="20">
        <f t="shared" si="90"/>
        <v>0</v>
      </c>
      <c r="Z461" s="20"/>
      <c r="AA461" s="20"/>
      <c r="AB461" s="20"/>
      <c r="AC461" s="20"/>
      <c r="AD461" s="20">
        <f t="shared" si="90"/>
        <v>0</v>
      </c>
      <c r="AF461" s="30"/>
      <c r="AG461" s="30"/>
      <c r="AH461" s="30"/>
      <c r="AI461" s="30"/>
      <c r="AJ461" s="30"/>
      <c r="AK461" s="30"/>
      <c r="AL461" s="30"/>
    </row>
    <row r="462" spans="1:38" s="44" customFormat="1" ht="33.75" x14ac:dyDescent="0.25">
      <c r="A462" s="5"/>
      <c r="B462" s="5" t="s">
        <v>94</v>
      </c>
      <c r="C462" s="11" t="s">
        <v>183</v>
      </c>
      <c r="D462" s="11">
        <v>1</v>
      </c>
      <c r="E462" s="11">
        <v>21</v>
      </c>
      <c r="F462" s="11">
        <v>902</v>
      </c>
      <c r="G462" s="11" t="s">
        <v>142</v>
      </c>
      <c r="H462" s="21">
        <v>414</v>
      </c>
      <c r="I462" s="20">
        <v>41337980.049999997</v>
      </c>
      <c r="J462" s="20">
        <v>-41337980.049999997</v>
      </c>
      <c r="K462" s="20"/>
      <c r="L462" s="20"/>
      <c r="M462" s="20"/>
      <c r="N462" s="20"/>
      <c r="O462" s="20"/>
      <c r="P462" s="20"/>
      <c r="Q462" s="20"/>
      <c r="R462" s="20"/>
      <c r="S462" s="20"/>
      <c r="T462" s="20">
        <f>41337980.05+J462</f>
        <v>0</v>
      </c>
      <c r="U462" s="20"/>
      <c r="V462" s="20"/>
      <c r="W462" s="20"/>
      <c r="X462" s="20"/>
      <c r="Y462" s="20">
        <v>0</v>
      </c>
      <c r="Z462" s="20"/>
      <c r="AA462" s="20"/>
      <c r="AB462" s="20"/>
      <c r="AC462" s="20"/>
      <c r="AD462" s="20">
        <v>0</v>
      </c>
      <c r="AF462" s="30"/>
      <c r="AG462" s="30"/>
      <c r="AH462" s="30"/>
      <c r="AI462" s="30"/>
      <c r="AJ462" s="30"/>
      <c r="AK462" s="30"/>
      <c r="AL462" s="30"/>
    </row>
    <row r="463" spans="1:38" s="44" customFormat="1" ht="21" x14ac:dyDescent="0.25">
      <c r="A463" s="5"/>
      <c r="B463" s="3" t="s">
        <v>141</v>
      </c>
      <c r="C463" s="13" t="s">
        <v>183</v>
      </c>
      <c r="D463" s="13">
        <v>1</v>
      </c>
      <c r="E463" s="13" t="s">
        <v>317</v>
      </c>
      <c r="F463" s="13">
        <v>902</v>
      </c>
      <c r="G463" s="13">
        <v>11270</v>
      </c>
      <c r="H463" s="14"/>
      <c r="I463" s="20"/>
      <c r="J463" s="20">
        <f t="shared" ref="J463:T465" si="91">J464</f>
        <v>41337980.049999997</v>
      </c>
      <c r="K463" s="20">
        <f t="shared" si="91"/>
        <v>7943919</v>
      </c>
      <c r="L463" s="20">
        <f t="shared" si="91"/>
        <v>537328.94999999995</v>
      </c>
      <c r="M463" s="20">
        <f t="shared" si="91"/>
        <v>-819228</v>
      </c>
      <c r="N463" s="20"/>
      <c r="O463" s="20"/>
      <c r="P463" s="20"/>
      <c r="Q463" s="20"/>
      <c r="R463" s="20"/>
      <c r="S463" s="20"/>
      <c r="T463" s="20">
        <f t="shared" si="91"/>
        <v>49000000</v>
      </c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F463" s="30"/>
      <c r="AG463" s="30"/>
      <c r="AH463" s="30"/>
      <c r="AI463" s="30"/>
      <c r="AJ463" s="30"/>
      <c r="AK463" s="30"/>
      <c r="AL463" s="30"/>
    </row>
    <row r="464" spans="1:38" s="44" customFormat="1" ht="22.5" x14ac:dyDescent="0.25">
      <c r="A464" s="5"/>
      <c r="B464" s="5" t="s">
        <v>70</v>
      </c>
      <c r="C464" s="11" t="s">
        <v>183</v>
      </c>
      <c r="D464" s="11">
        <v>1</v>
      </c>
      <c r="E464" s="11" t="s">
        <v>317</v>
      </c>
      <c r="F464" s="11">
        <v>902</v>
      </c>
      <c r="G464" s="11">
        <v>11270</v>
      </c>
      <c r="H464" s="21">
        <v>400</v>
      </c>
      <c r="I464" s="20"/>
      <c r="J464" s="20">
        <f t="shared" si="91"/>
        <v>41337980.049999997</v>
      </c>
      <c r="K464" s="20">
        <f t="shared" si="91"/>
        <v>7943919</v>
      </c>
      <c r="L464" s="20">
        <f t="shared" si="91"/>
        <v>537328.94999999995</v>
      </c>
      <c r="M464" s="20">
        <f t="shared" si="91"/>
        <v>-819228</v>
      </c>
      <c r="N464" s="20"/>
      <c r="O464" s="20"/>
      <c r="P464" s="20"/>
      <c r="Q464" s="20"/>
      <c r="R464" s="20"/>
      <c r="S464" s="20"/>
      <c r="T464" s="20">
        <f t="shared" si="91"/>
        <v>49000000</v>
      </c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F464" s="30"/>
      <c r="AG464" s="30"/>
      <c r="AH464" s="30"/>
      <c r="AI464" s="30"/>
      <c r="AJ464" s="30"/>
      <c r="AK464" s="30"/>
      <c r="AL464" s="30"/>
    </row>
    <row r="465" spans="1:38" s="44" customFormat="1" x14ac:dyDescent="0.25">
      <c r="A465" s="5"/>
      <c r="B465" s="5" t="s">
        <v>71</v>
      </c>
      <c r="C465" s="11" t="s">
        <v>183</v>
      </c>
      <c r="D465" s="11">
        <v>1</v>
      </c>
      <c r="E465" s="11" t="s">
        <v>317</v>
      </c>
      <c r="F465" s="11">
        <v>902</v>
      </c>
      <c r="G465" s="11">
        <v>11270</v>
      </c>
      <c r="H465" s="21">
        <v>410</v>
      </c>
      <c r="I465" s="20"/>
      <c r="J465" s="20">
        <f t="shared" si="91"/>
        <v>41337980.049999997</v>
      </c>
      <c r="K465" s="20">
        <f t="shared" si="91"/>
        <v>7943919</v>
      </c>
      <c r="L465" s="20">
        <f t="shared" si="91"/>
        <v>537328.94999999995</v>
      </c>
      <c r="M465" s="20">
        <f t="shared" si="91"/>
        <v>-819228</v>
      </c>
      <c r="N465" s="20"/>
      <c r="O465" s="20"/>
      <c r="P465" s="20"/>
      <c r="Q465" s="20"/>
      <c r="R465" s="20"/>
      <c r="S465" s="20"/>
      <c r="T465" s="20">
        <f t="shared" si="91"/>
        <v>49000000</v>
      </c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F465" s="30"/>
      <c r="AG465" s="30"/>
      <c r="AH465" s="30"/>
      <c r="AI465" s="30"/>
      <c r="AJ465" s="30"/>
      <c r="AK465" s="30"/>
      <c r="AL465" s="30"/>
    </row>
    <row r="466" spans="1:38" s="44" customFormat="1" ht="33.75" x14ac:dyDescent="0.25">
      <c r="A466" s="5"/>
      <c r="B466" s="5" t="s">
        <v>94</v>
      </c>
      <c r="C466" s="11" t="s">
        <v>183</v>
      </c>
      <c r="D466" s="11">
        <v>1</v>
      </c>
      <c r="E466" s="11" t="s">
        <v>317</v>
      </c>
      <c r="F466" s="11">
        <v>902</v>
      </c>
      <c r="G466" s="11">
        <v>11270</v>
      </c>
      <c r="H466" s="21">
        <v>414</v>
      </c>
      <c r="I466" s="20"/>
      <c r="J466" s="20">
        <v>41337980.049999997</v>
      </c>
      <c r="K466" s="20">
        <v>7943919</v>
      </c>
      <c r="L466" s="20">
        <v>537328.94999999995</v>
      </c>
      <c r="M466" s="20">
        <v>-819228</v>
      </c>
      <c r="N466" s="20"/>
      <c r="O466" s="20"/>
      <c r="P466" s="20"/>
      <c r="Q466" s="20"/>
      <c r="R466" s="20"/>
      <c r="S466" s="20"/>
      <c r="T466" s="20">
        <f>J466+K466+L466+M466</f>
        <v>49000000</v>
      </c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F466" s="30"/>
      <c r="AG466" s="30"/>
      <c r="AH466" s="30"/>
      <c r="AI466" s="30"/>
      <c r="AJ466" s="30"/>
      <c r="AK466" s="30"/>
      <c r="AL466" s="30"/>
    </row>
    <row r="467" spans="1:38" s="44" customFormat="1" hidden="1" x14ac:dyDescent="0.25">
      <c r="A467" s="5"/>
      <c r="B467" s="5"/>
      <c r="C467" s="11"/>
      <c r="D467" s="11"/>
      <c r="E467" s="11"/>
      <c r="F467" s="11"/>
      <c r="G467" s="1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F467" s="30"/>
      <c r="AG467" s="30"/>
      <c r="AH467" s="30"/>
      <c r="AI467" s="30"/>
      <c r="AJ467" s="30"/>
      <c r="AK467" s="30"/>
      <c r="AL467" s="30"/>
    </row>
    <row r="468" spans="1:38" s="44" customFormat="1" hidden="1" x14ac:dyDescent="0.25">
      <c r="A468" s="5"/>
      <c r="B468" s="5"/>
      <c r="C468" s="11"/>
      <c r="D468" s="11"/>
      <c r="E468" s="11"/>
      <c r="F468" s="11"/>
      <c r="G468" s="1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F468" s="30"/>
      <c r="AG468" s="30"/>
      <c r="AH468" s="30"/>
      <c r="AI468" s="30"/>
      <c r="AJ468" s="30"/>
      <c r="AK468" s="30"/>
      <c r="AL468" s="30"/>
    </row>
    <row r="469" spans="1:38" s="44" customFormat="1" hidden="1" x14ac:dyDescent="0.25">
      <c r="A469" s="5"/>
      <c r="B469" s="5"/>
      <c r="C469" s="11"/>
      <c r="D469" s="11"/>
      <c r="E469" s="11"/>
      <c r="F469" s="11"/>
      <c r="G469" s="1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F469" s="30"/>
      <c r="AG469" s="30"/>
      <c r="AH469" s="30"/>
      <c r="AI469" s="30"/>
      <c r="AJ469" s="30"/>
      <c r="AK469" s="30"/>
      <c r="AL469" s="30"/>
    </row>
    <row r="470" spans="1:38" ht="42" x14ac:dyDescent="0.25">
      <c r="A470" s="3" t="s">
        <v>192</v>
      </c>
      <c r="B470" s="3" t="s">
        <v>192</v>
      </c>
      <c r="C470" s="13" t="s">
        <v>183</v>
      </c>
      <c r="D470" s="13">
        <v>1</v>
      </c>
      <c r="E470" s="13">
        <v>22</v>
      </c>
      <c r="F470" s="11"/>
      <c r="G470" s="11"/>
      <c r="H470" s="21"/>
      <c r="I470" s="15">
        <f t="shared" ref="I470:P470" si="92">I471+I519+I510</f>
        <v>381332540.38</v>
      </c>
      <c r="J470" s="15">
        <f t="shared" si="92"/>
        <v>6138853.5699999928</v>
      </c>
      <c r="K470" s="15">
        <f t="shared" si="92"/>
        <v>-824569.5</v>
      </c>
      <c r="L470" s="15">
        <f t="shared" si="92"/>
        <v>-1211698.74</v>
      </c>
      <c r="M470" s="15">
        <f t="shared" si="92"/>
        <v>-300000</v>
      </c>
      <c r="N470" s="15">
        <f t="shared" si="92"/>
        <v>-136353.03999999998</v>
      </c>
      <c r="O470" s="15">
        <f t="shared" si="92"/>
        <v>1032826</v>
      </c>
      <c r="P470" s="15">
        <f t="shared" si="92"/>
        <v>-2817059</v>
      </c>
      <c r="Q470" s="15"/>
      <c r="R470" s="15"/>
      <c r="S470" s="15"/>
      <c r="T470" s="15">
        <f>T471+T519+T510</f>
        <v>401925328.66999996</v>
      </c>
      <c r="U470" s="15"/>
      <c r="V470" s="15"/>
      <c r="W470" s="15"/>
      <c r="X470" s="15"/>
      <c r="Y470" s="15">
        <f>Y471+Y519+Y510</f>
        <v>416307760.82999998</v>
      </c>
      <c r="Z470" s="15"/>
      <c r="AA470" s="15"/>
      <c r="AB470" s="15"/>
      <c r="AC470" s="15"/>
      <c r="AD470" s="15">
        <f>AD471+AD519+AD510</f>
        <v>490107391.45999998</v>
      </c>
    </row>
    <row r="471" spans="1:38" ht="21" x14ac:dyDescent="0.25">
      <c r="A471" s="3" t="s">
        <v>173</v>
      </c>
      <c r="B471" s="3" t="s">
        <v>173</v>
      </c>
      <c r="C471" s="13" t="s">
        <v>183</v>
      </c>
      <c r="D471" s="13">
        <v>1</v>
      </c>
      <c r="E471" s="13">
        <v>22</v>
      </c>
      <c r="F471" s="13">
        <v>921</v>
      </c>
      <c r="G471" s="11"/>
      <c r="H471" s="21"/>
      <c r="I471" s="15">
        <f>I478+I490+I494+I498+I502+I472</f>
        <v>381332540.38</v>
      </c>
      <c r="J471" s="15">
        <f t="shared" ref="J471:N471" si="93">J478+J490+J494+J498+J502+J472+J482</f>
        <v>6138853.5699999928</v>
      </c>
      <c r="K471" s="15">
        <f t="shared" si="93"/>
        <v>-824569.5</v>
      </c>
      <c r="L471" s="15">
        <f t="shared" si="93"/>
        <v>-1211698.74</v>
      </c>
      <c r="M471" s="15">
        <f t="shared" si="93"/>
        <v>-300000</v>
      </c>
      <c r="N471" s="15">
        <f t="shared" si="93"/>
        <v>-136353.03999999998</v>
      </c>
      <c r="O471" s="15">
        <f t="shared" ref="O471:P471" si="94">O478+O490+O494+O498+O502+O472+O482</f>
        <v>1032826</v>
      </c>
      <c r="P471" s="15">
        <f t="shared" si="94"/>
        <v>-2817059</v>
      </c>
      <c r="Q471" s="15"/>
      <c r="R471" s="15"/>
      <c r="S471" s="15"/>
      <c r="T471" s="15">
        <f>T478+T490+T494+T498+T502+T472+T482+T486+T506</f>
        <v>401925328.66999996</v>
      </c>
      <c r="U471" s="15"/>
      <c r="V471" s="15"/>
      <c r="W471" s="15"/>
      <c r="X471" s="15"/>
      <c r="Y471" s="15">
        <f>Y478+Y490+Y494+Y498+Y502+Y472+Y482+Y486+Y506</f>
        <v>416307760.82999998</v>
      </c>
      <c r="Z471" s="15"/>
      <c r="AA471" s="15"/>
      <c r="AB471" s="15"/>
      <c r="AC471" s="15"/>
      <c r="AD471" s="15">
        <f>AD478+AD490+AD494+AD498+AD502+AD472+AD482+AD486+AD506</f>
        <v>469054759.88</v>
      </c>
    </row>
    <row r="472" spans="1:38" ht="21" x14ac:dyDescent="0.25">
      <c r="A472" s="3"/>
      <c r="B472" s="3" t="s">
        <v>141</v>
      </c>
      <c r="C472" s="13" t="s">
        <v>183</v>
      </c>
      <c r="D472" s="13">
        <v>1</v>
      </c>
      <c r="E472" s="13">
        <v>22</v>
      </c>
      <c r="F472" s="13">
        <v>921</v>
      </c>
      <c r="G472" s="13" t="s">
        <v>142</v>
      </c>
      <c r="H472" s="14"/>
      <c r="I472" s="15">
        <f t="shared" ref="I472:AD474" si="95">I473</f>
        <v>1080000</v>
      </c>
      <c r="J472" s="15">
        <f t="shared" si="95"/>
        <v>0</v>
      </c>
      <c r="K472" s="15"/>
      <c r="L472" s="15"/>
      <c r="M472" s="15"/>
      <c r="N472" s="15"/>
      <c r="O472" s="15"/>
      <c r="P472" s="15"/>
      <c r="Q472" s="15"/>
      <c r="R472" s="15"/>
      <c r="S472" s="15"/>
      <c r="T472" s="15">
        <f t="shared" si="95"/>
        <v>1080000</v>
      </c>
      <c r="U472" s="15"/>
      <c r="V472" s="15"/>
      <c r="W472" s="15"/>
      <c r="X472" s="15"/>
      <c r="Y472" s="15">
        <f t="shared" si="95"/>
        <v>10800000</v>
      </c>
      <c r="Z472" s="15"/>
      <c r="AA472" s="15"/>
      <c r="AB472" s="15"/>
      <c r="AC472" s="15"/>
      <c r="AD472" s="15">
        <f t="shared" si="95"/>
        <v>61020000</v>
      </c>
    </row>
    <row r="473" spans="1:38" ht="22.5" x14ac:dyDescent="0.25">
      <c r="A473" s="3"/>
      <c r="B473" s="5" t="s">
        <v>70</v>
      </c>
      <c r="C473" s="11" t="s">
        <v>183</v>
      </c>
      <c r="D473" s="11">
        <v>1</v>
      </c>
      <c r="E473" s="11">
        <v>22</v>
      </c>
      <c r="F473" s="11">
        <v>921</v>
      </c>
      <c r="G473" s="11" t="s">
        <v>142</v>
      </c>
      <c r="H473" s="21">
        <v>400</v>
      </c>
      <c r="I473" s="20">
        <f t="shared" si="95"/>
        <v>1080000</v>
      </c>
      <c r="J473" s="20">
        <f>J474+J476</f>
        <v>0</v>
      </c>
      <c r="K473" s="20"/>
      <c r="L473" s="20"/>
      <c r="M473" s="20"/>
      <c r="N473" s="20"/>
      <c r="O473" s="20"/>
      <c r="P473" s="20"/>
      <c r="Q473" s="20"/>
      <c r="R473" s="20"/>
      <c r="S473" s="20"/>
      <c r="T473" s="20">
        <f>T474+T476</f>
        <v>1080000</v>
      </c>
      <c r="U473" s="20"/>
      <c r="V473" s="20"/>
      <c r="W473" s="20"/>
      <c r="X473" s="20"/>
      <c r="Y473" s="20">
        <f>Y474+Y476</f>
        <v>10800000</v>
      </c>
      <c r="Z473" s="20"/>
      <c r="AA473" s="20"/>
      <c r="AB473" s="20"/>
      <c r="AC473" s="20"/>
      <c r="AD473" s="20">
        <f>AD474+AD476</f>
        <v>61020000</v>
      </c>
    </row>
    <row r="474" spans="1:38" x14ac:dyDescent="0.25">
      <c r="A474" s="3"/>
      <c r="B474" s="5" t="s">
        <v>71</v>
      </c>
      <c r="C474" s="11" t="s">
        <v>183</v>
      </c>
      <c r="D474" s="11">
        <v>1</v>
      </c>
      <c r="E474" s="11">
        <v>22</v>
      </c>
      <c r="F474" s="11">
        <v>921</v>
      </c>
      <c r="G474" s="11" t="s">
        <v>142</v>
      </c>
      <c r="H474" s="21">
        <v>410</v>
      </c>
      <c r="I474" s="20">
        <f t="shared" si="95"/>
        <v>1080000</v>
      </c>
      <c r="J474" s="20">
        <f t="shared" si="95"/>
        <v>-1080000</v>
      </c>
      <c r="K474" s="20"/>
      <c r="L474" s="20"/>
      <c r="M474" s="20"/>
      <c r="N474" s="20"/>
      <c r="O474" s="20"/>
      <c r="P474" s="20"/>
      <c r="Q474" s="20"/>
      <c r="R474" s="20"/>
      <c r="S474" s="20"/>
      <c r="T474" s="20">
        <f t="shared" si="95"/>
        <v>0</v>
      </c>
      <c r="U474" s="20"/>
      <c r="V474" s="20"/>
      <c r="W474" s="20"/>
      <c r="X474" s="20"/>
      <c r="Y474" s="20">
        <f t="shared" si="95"/>
        <v>0</v>
      </c>
      <c r="Z474" s="20"/>
      <c r="AA474" s="20"/>
      <c r="AB474" s="20"/>
      <c r="AC474" s="20"/>
      <c r="AD474" s="20">
        <f t="shared" si="95"/>
        <v>0</v>
      </c>
    </row>
    <row r="475" spans="1:38" ht="33.75" x14ac:dyDescent="0.25">
      <c r="A475" s="3"/>
      <c r="B475" s="5" t="s">
        <v>94</v>
      </c>
      <c r="C475" s="11" t="s">
        <v>183</v>
      </c>
      <c r="D475" s="11">
        <v>1</v>
      </c>
      <c r="E475" s="11">
        <v>22</v>
      </c>
      <c r="F475" s="11">
        <v>921</v>
      </c>
      <c r="G475" s="11" t="s">
        <v>142</v>
      </c>
      <c r="H475" s="21">
        <v>414</v>
      </c>
      <c r="I475" s="20">
        <v>1080000</v>
      </c>
      <c r="J475" s="20">
        <v>-1080000</v>
      </c>
      <c r="K475" s="20"/>
      <c r="L475" s="20"/>
      <c r="M475" s="20"/>
      <c r="N475" s="20"/>
      <c r="O475" s="20"/>
      <c r="P475" s="20"/>
      <c r="Q475" s="20"/>
      <c r="R475" s="20"/>
      <c r="S475" s="20"/>
      <c r="T475" s="20">
        <f>1080000+J475</f>
        <v>0</v>
      </c>
      <c r="U475" s="20">
        <v>-10800000</v>
      </c>
      <c r="V475" s="20"/>
      <c r="W475" s="20"/>
      <c r="X475" s="20"/>
      <c r="Y475" s="20">
        <f>10800000+U475</f>
        <v>0</v>
      </c>
      <c r="Z475" s="20">
        <v>-61020000</v>
      </c>
      <c r="AA475" s="20"/>
      <c r="AB475" s="20"/>
      <c r="AC475" s="20"/>
      <c r="AD475" s="20">
        <f>61020000+Z475</f>
        <v>0</v>
      </c>
    </row>
    <row r="476" spans="1:38" ht="78.75" x14ac:dyDescent="0.25">
      <c r="A476" s="3"/>
      <c r="B476" s="5" t="s">
        <v>318</v>
      </c>
      <c r="C476" s="11" t="s">
        <v>183</v>
      </c>
      <c r="D476" s="11">
        <v>1</v>
      </c>
      <c r="E476" s="11">
        <v>22</v>
      </c>
      <c r="F476" s="11">
        <v>921</v>
      </c>
      <c r="G476" s="11" t="s">
        <v>142</v>
      </c>
      <c r="H476" s="21">
        <v>460</v>
      </c>
      <c r="I476" s="20"/>
      <c r="J476" s="20">
        <f>J477</f>
        <v>1080000</v>
      </c>
      <c r="K476" s="20"/>
      <c r="L476" s="20"/>
      <c r="M476" s="20"/>
      <c r="N476" s="20"/>
      <c r="O476" s="20"/>
      <c r="P476" s="20"/>
      <c r="Q476" s="20"/>
      <c r="R476" s="20"/>
      <c r="S476" s="20"/>
      <c r="T476" s="20">
        <f>T477</f>
        <v>1080000</v>
      </c>
      <c r="U476" s="20"/>
      <c r="V476" s="20"/>
      <c r="W476" s="20"/>
      <c r="X476" s="20"/>
      <c r="Y476" s="20">
        <f>Y477</f>
        <v>10800000</v>
      </c>
      <c r="Z476" s="20"/>
      <c r="AA476" s="20"/>
      <c r="AB476" s="20"/>
      <c r="AC476" s="20"/>
      <c r="AD476" s="20">
        <f>AD477</f>
        <v>61020000</v>
      </c>
    </row>
    <row r="477" spans="1:38" ht="45" x14ac:dyDescent="0.25">
      <c r="A477" s="3"/>
      <c r="B477" s="5" t="s">
        <v>319</v>
      </c>
      <c r="C477" s="11" t="s">
        <v>183</v>
      </c>
      <c r="D477" s="11">
        <v>1</v>
      </c>
      <c r="E477" s="11">
        <v>22</v>
      </c>
      <c r="F477" s="11">
        <v>921</v>
      </c>
      <c r="G477" s="11" t="s">
        <v>142</v>
      </c>
      <c r="H477" s="21">
        <v>464</v>
      </c>
      <c r="I477" s="20"/>
      <c r="J477" s="20">
        <v>1080000</v>
      </c>
      <c r="K477" s="20"/>
      <c r="L477" s="20"/>
      <c r="M477" s="20"/>
      <c r="N477" s="20"/>
      <c r="O477" s="20"/>
      <c r="P477" s="20"/>
      <c r="Q477" s="20"/>
      <c r="R477" s="20"/>
      <c r="S477" s="20"/>
      <c r="T477" s="20">
        <f>J477</f>
        <v>1080000</v>
      </c>
      <c r="U477" s="20">
        <v>10800000</v>
      </c>
      <c r="V477" s="20"/>
      <c r="W477" s="20"/>
      <c r="X477" s="20"/>
      <c r="Y477" s="20">
        <f>U477</f>
        <v>10800000</v>
      </c>
      <c r="Z477" s="20">
        <v>61020000</v>
      </c>
      <c r="AA477" s="20"/>
      <c r="AB477" s="20"/>
      <c r="AC477" s="20"/>
      <c r="AD477" s="20">
        <f>Z477</f>
        <v>61020000</v>
      </c>
    </row>
    <row r="478" spans="1:38" ht="52.5" x14ac:dyDescent="0.25">
      <c r="A478" s="3"/>
      <c r="B478" s="4" t="s">
        <v>193</v>
      </c>
      <c r="C478" s="13" t="s">
        <v>183</v>
      </c>
      <c r="D478" s="13">
        <v>1</v>
      </c>
      <c r="E478" s="13">
        <v>22</v>
      </c>
      <c r="F478" s="13">
        <v>921</v>
      </c>
      <c r="G478" s="13">
        <v>14700</v>
      </c>
      <c r="H478" s="14"/>
      <c r="I478" s="15">
        <f t="shared" ref="I478:AD480" si="96">I479</f>
        <v>229231768</v>
      </c>
      <c r="J478" s="15">
        <f t="shared" si="96"/>
        <v>-229231768</v>
      </c>
      <c r="K478" s="15"/>
      <c r="L478" s="15"/>
      <c r="M478" s="15"/>
      <c r="N478" s="15"/>
      <c r="O478" s="15"/>
      <c r="P478" s="15"/>
      <c r="Q478" s="15"/>
      <c r="R478" s="15"/>
      <c r="S478" s="15"/>
      <c r="T478" s="15">
        <f t="shared" si="96"/>
        <v>0</v>
      </c>
      <c r="U478" s="15"/>
      <c r="V478" s="15"/>
      <c r="W478" s="15"/>
      <c r="X478" s="15"/>
      <c r="Y478" s="15">
        <f t="shared" si="96"/>
        <v>0</v>
      </c>
      <c r="Z478" s="15"/>
      <c r="AA478" s="15"/>
      <c r="AB478" s="15"/>
      <c r="AC478" s="15"/>
      <c r="AD478" s="15">
        <f t="shared" si="96"/>
        <v>0</v>
      </c>
    </row>
    <row r="479" spans="1:38" ht="22.5" x14ac:dyDescent="0.25">
      <c r="A479" s="3"/>
      <c r="B479" s="5" t="s">
        <v>34</v>
      </c>
      <c r="C479" s="11" t="s">
        <v>183</v>
      </c>
      <c r="D479" s="11">
        <v>1</v>
      </c>
      <c r="E479" s="11">
        <v>22</v>
      </c>
      <c r="F479" s="11">
        <v>921</v>
      </c>
      <c r="G479" s="11">
        <v>14700</v>
      </c>
      <c r="H479" s="21" t="s">
        <v>35</v>
      </c>
      <c r="I479" s="20">
        <f t="shared" si="96"/>
        <v>229231768</v>
      </c>
      <c r="J479" s="20">
        <f t="shared" si="96"/>
        <v>-229231768</v>
      </c>
      <c r="K479" s="20"/>
      <c r="L479" s="20"/>
      <c r="M479" s="20"/>
      <c r="N479" s="20"/>
      <c r="O479" s="20"/>
      <c r="P479" s="20"/>
      <c r="Q479" s="20"/>
      <c r="R479" s="20"/>
      <c r="S479" s="20"/>
      <c r="T479" s="20">
        <f t="shared" si="96"/>
        <v>0</v>
      </c>
      <c r="U479" s="20"/>
      <c r="V479" s="20"/>
      <c r="W479" s="20"/>
      <c r="X479" s="20"/>
      <c r="Y479" s="20">
        <f t="shared" si="96"/>
        <v>0</v>
      </c>
      <c r="Z479" s="20"/>
      <c r="AA479" s="20"/>
      <c r="AB479" s="20"/>
      <c r="AC479" s="20"/>
      <c r="AD479" s="20">
        <f t="shared" si="96"/>
        <v>0</v>
      </c>
    </row>
    <row r="480" spans="1:38" x14ac:dyDescent="0.25">
      <c r="A480" s="3"/>
      <c r="B480" s="5" t="s">
        <v>36</v>
      </c>
      <c r="C480" s="11" t="s">
        <v>183</v>
      </c>
      <c r="D480" s="11">
        <v>1</v>
      </c>
      <c r="E480" s="11">
        <v>22</v>
      </c>
      <c r="F480" s="11">
        <v>921</v>
      </c>
      <c r="G480" s="11">
        <v>14700</v>
      </c>
      <c r="H480" s="21">
        <v>610</v>
      </c>
      <c r="I480" s="20">
        <f t="shared" si="96"/>
        <v>229231768</v>
      </c>
      <c r="J480" s="20">
        <f t="shared" si="96"/>
        <v>-229231768</v>
      </c>
      <c r="K480" s="20"/>
      <c r="L480" s="20"/>
      <c r="M480" s="20"/>
      <c r="N480" s="20"/>
      <c r="O480" s="20"/>
      <c r="P480" s="20"/>
      <c r="Q480" s="20"/>
      <c r="R480" s="20"/>
      <c r="S480" s="20"/>
      <c r="T480" s="20">
        <f t="shared" si="96"/>
        <v>0</v>
      </c>
      <c r="U480" s="20"/>
      <c r="V480" s="20"/>
      <c r="W480" s="20"/>
      <c r="X480" s="20"/>
      <c r="Y480" s="20">
        <f t="shared" si="96"/>
        <v>0</v>
      </c>
      <c r="Z480" s="20"/>
      <c r="AA480" s="20"/>
      <c r="AB480" s="20"/>
      <c r="AC480" s="20"/>
      <c r="AD480" s="20">
        <f t="shared" si="96"/>
        <v>0</v>
      </c>
    </row>
    <row r="481" spans="1:38" ht="45" x14ac:dyDescent="0.25">
      <c r="A481" s="3"/>
      <c r="B481" s="5" t="s">
        <v>37</v>
      </c>
      <c r="C481" s="11" t="s">
        <v>183</v>
      </c>
      <c r="D481" s="11">
        <v>1</v>
      </c>
      <c r="E481" s="11">
        <v>22</v>
      </c>
      <c r="F481" s="11">
        <v>921</v>
      </c>
      <c r="G481" s="11">
        <v>14700</v>
      </c>
      <c r="H481" s="21" t="s">
        <v>38</v>
      </c>
      <c r="I481" s="20">
        <v>229231768</v>
      </c>
      <c r="J481" s="20">
        <v>-229231768</v>
      </c>
      <c r="K481" s="20"/>
      <c r="L481" s="20"/>
      <c r="M481" s="20"/>
      <c r="N481" s="20"/>
      <c r="O481" s="20"/>
      <c r="P481" s="20"/>
      <c r="Q481" s="20"/>
      <c r="R481" s="20"/>
      <c r="S481" s="20"/>
      <c r="T481" s="20">
        <f>229231768+J481</f>
        <v>0</v>
      </c>
      <c r="U481" s="20">
        <v>-229231768</v>
      </c>
      <c r="V481" s="20"/>
      <c r="W481" s="20"/>
      <c r="X481" s="20"/>
      <c r="Y481" s="20">
        <f>229231768+U481</f>
        <v>0</v>
      </c>
      <c r="Z481" s="20">
        <v>-229231768</v>
      </c>
      <c r="AA481" s="20"/>
      <c r="AB481" s="20"/>
      <c r="AC481" s="20"/>
      <c r="AD481" s="20">
        <f>229231768+Z481</f>
        <v>0</v>
      </c>
    </row>
    <row r="482" spans="1:38" ht="52.5" x14ac:dyDescent="0.25">
      <c r="A482" s="3"/>
      <c r="B482" s="4" t="s">
        <v>193</v>
      </c>
      <c r="C482" s="13" t="s">
        <v>183</v>
      </c>
      <c r="D482" s="13">
        <v>1</v>
      </c>
      <c r="E482" s="13">
        <v>22</v>
      </c>
      <c r="F482" s="13">
        <v>921</v>
      </c>
      <c r="G482" s="13">
        <v>14721</v>
      </c>
      <c r="H482" s="14"/>
      <c r="I482" s="20"/>
      <c r="J482" s="20">
        <f t="shared" ref="J482:T484" si="97">J483</f>
        <v>229231768</v>
      </c>
      <c r="K482" s="20"/>
      <c r="L482" s="20"/>
      <c r="M482" s="20"/>
      <c r="N482" s="20"/>
      <c r="O482" s="20"/>
      <c r="P482" s="20"/>
      <c r="Q482" s="20"/>
      <c r="R482" s="20"/>
      <c r="S482" s="20"/>
      <c r="T482" s="20">
        <f t="shared" si="97"/>
        <v>229231768</v>
      </c>
      <c r="U482" s="20"/>
      <c r="V482" s="20"/>
      <c r="W482" s="20"/>
      <c r="X482" s="20"/>
      <c r="Y482" s="20">
        <f>Y483</f>
        <v>229231768</v>
      </c>
      <c r="Z482" s="20"/>
      <c r="AA482" s="20"/>
      <c r="AB482" s="20"/>
      <c r="AC482" s="20"/>
      <c r="AD482" s="20">
        <f>AD483</f>
        <v>229231768</v>
      </c>
    </row>
    <row r="483" spans="1:38" ht="22.5" x14ac:dyDescent="0.25">
      <c r="A483" s="3"/>
      <c r="B483" s="5" t="s">
        <v>34</v>
      </c>
      <c r="C483" s="11" t="s">
        <v>183</v>
      </c>
      <c r="D483" s="11">
        <v>1</v>
      </c>
      <c r="E483" s="11">
        <v>22</v>
      </c>
      <c r="F483" s="11">
        <v>921</v>
      </c>
      <c r="G483" s="11">
        <v>14721</v>
      </c>
      <c r="H483" s="21" t="s">
        <v>35</v>
      </c>
      <c r="I483" s="20"/>
      <c r="J483" s="20">
        <f t="shared" si="97"/>
        <v>229231768</v>
      </c>
      <c r="K483" s="20"/>
      <c r="L483" s="20"/>
      <c r="M483" s="20"/>
      <c r="N483" s="20"/>
      <c r="O483" s="20"/>
      <c r="P483" s="20"/>
      <c r="Q483" s="20"/>
      <c r="R483" s="20"/>
      <c r="S483" s="20"/>
      <c r="T483" s="20">
        <f t="shared" si="97"/>
        <v>229231768</v>
      </c>
      <c r="U483" s="20"/>
      <c r="V483" s="20"/>
      <c r="W483" s="20"/>
      <c r="X483" s="20"/>
      <c r="Y483" s="20">
        <f>Y484</f>
        <v>229231768</v>
      </c>
      <c r="Z483" s="20"/>
      <c r="AA483" s="20"/>
      <c r="AB483" s="20"/>
      <c r="AC483" s="20"/>
      <c r="AD483" s="20">
        <f>AD484</f>
        <v>229231768</v>
      </c>
    </row>
    <row r="484" spans="1:38" x14ac:dyDescent="0.25">
      <c r="A484" s="3"/>
      <c r="B484" s="5" t="s">
        <v>36</v>
      </c>
      <c r="C484" s="11" t="s">
        <v>183</v>
      </c>
      <c r="D484" s="11">
        <v>1</v>
      </c>
      <c r="E484" s="11">
        <v>22</v>
      </c>
      <c r="F484" s="11">
        <v>921</v>
      </c>
      <c r="G484" s="11">
        <v>14721</v>
      </c>
      <c r="H484" s="21">
        <v>610</v>
      </c>
      <c r="I484" s="20"/>
      <c r="J484" s="20">
        <f t="shared" si="97"/>
        <v>229231768</v>
      </c>
      <c r="K484" s="20"/>
      <c r="L484" s="20"/>
      <c r="M484" s="20"/>
      <c r="N484" s="20"/>
      <c r="O484" s="20"/>
      <c r="P484" s="20"/>
      <c r="Q484" s="20"/>
      <c r="R484" s="20"/>
      <c r="S484" s="20"/>
      <c r="T484" s="20">
        <f t="shared" si="97"/>
        <v>229231768</v>
      </c>
      <c r="U484" s="20"/>
      <c r="V484" s="20"/>
      <c r="W484" s="20"/>
      <c r="X484" s="20"/>
      <c r="Y484" s="20">
        <f>Y485</f>
        <v>229231768</v>
      </c>
      <c r="Z484" s="20"/>
      <c r="AA484" s="20"/>
      <c r="AB484" s="20"/>
      <c r="AC484" s="20"/>
      <c r="AD484" s="20">
        <f>AD485</f>
        <v>229231768</v>
      </c>
    </row>
    <row r="485" spans="1:38" ht="45" x14ac:dyDescent="0.25">
      <c r="A485" s="3"/>
      <c r="B485" s="5" t="s">
        <v>37</v>
      </c>
      <c r="C485" s="11" t="s">
        <v>183</v>
      </c>
      <c r="D485" s="11">
        <v>1</v>
      </c>
      <c r="E485" s="11">
        <v>22</v>
      </c>
      <c r="F485" s="11">
        <v>921</v>
      </c>
      <c r="G485" s="11">
        <v>14721</v>
      </c>
      <c r="H485" s="21" t="s">
        <v>38</v>
      </c>
      <c r="I485" s="20"/>
      <c r="J485" s="20">
        <v>229231768</v>
      </c>
      <c r="K485" s="20"/>
      <c r="L485" s="20"/>
      <c r="M485" s="20"/>
      <c r="N485" s="20"/>
      <c r="O485" s="20"/>
      <c r="P485" s="20"/>
      <c r="Q485" s="20"/>
      <c r="R485" s="20"/>
      <c r="S485" s="20"/>
      <c r="T485" s="20">
        <f>J485</f>
        <v>229231768</v>
      </c>
      <c r="U485" s="20">
        <v>229231768</v>
      </c>
      <c r="V485" s="20"/>
      <c r="W485" s="20"/>
      <c r="X485" s="20"/>
      <c r="Y485" s="20">
        <f>U485</f>
        <v>229231768</v>
      </c>
      <c r="Z485" s="20">
        <v>229231768</v>
      </c>
      <c r="AA485" s="20"/>
      <c r="AB485" s="20"/>
      <c r="AC485" s="20"/>
      <c r="AD485" s="20">
        <f>Z485</f>
        <v>229231768</v>
      </c>
    </row>
    <row r="486" spans="1:38" s="44" customFormat="1" ht="42" x14ac:dyDescent="0.25">
      <c r="A486" s="3"/>
      <c r="B486" s="3" t="s">
        <v>364</v>
      </c>
      <c r="C486" s="13" t="s">
        <v>183</v>
      </c>
      <c r="D486" s="13">
        <v>1</v>
      </c>
      <c r="E486" s="13">
        <v>22</v>
      </c>
      <c r="F486" s="13">
        <v>921</v>
      </c>
      <c r="G486" s="13">
        <v>53030</v>
      </c>
      <c r="H486" s="14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>
        <f>T487</f>
        <v>7551600</v>
      </c>
      <c r="U486" s="15"/>
      <c r="V486" s="15"/>
      <c r="W486" s="15"/>
      <c r="X486" s="15"/>
      <c r="Y486" s="15">
        <f t="shared" ref="Y486:AD488" si="98">Y487</f>
        <v>22654800</v>
      </c>
      <c r="Z486" s="15">
        <f t="shared" si="98"/>
        <v>0</v>
      </c>
      <c r="AA486" s="15">
        <f t="shared" si="98"/>
        <v>0</v>
      </c>
      <c r="AB486" s="15">
        <f t="shared" si="98"/>
        <v>0</v>
      </c>
      <c r="AC486" s="15">
        <f t="shared" si="98"/>
        <v>0</v>
      </c>
      <c r="AD486" s="15">
        <f t="shared" si="98"/>
        <v>22654800</v>
      </c>
      <c r="AF486" s="30"/>
      <c r="AG486" s="30"/>
      <c r="AH486" s="30"/>
      <c r="AI486" s="30"/>
      <c r="AJ486" s="30"/>
      <c r="AK486" s="30"/>
      <c r="AL486" s="30"/>
    </row>
    <row r="487" spans="1:38" ht="22.5" x14ac:dyDescent="0.25">
      <c r="A487" s="3"/>
      <c r="B487" s="5" t="s">
        <v>34</v>
      </c>
      <c r="C487" s="11" t="s">
        <v>183</v>
      </c>
      <c r="D487" s="11">
        <v>1</v>
      </c>
      <c r="E487" s="11">
        <v>22</v>
      </c>
      <c r="F487" s="11">
        <v>921</v>
      </c>
      <c r="G487" s="11">
        <v>53030</v>
      </c>
      <c r="H487" s="21">
        <v>600</v>
      </c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>
        <f>T488</f>
        <v>7551600</v>
      </c>
      <c r="U487" s="20"/>
      <c r="V487" s="20"/>
      <c r="W487" s="20"/>
      <c r="X487" s="20"/>
      <c r="Y487" s="20">
        <f t="shared" si="98"/>
        <v>22654800</v>
      </c>
      <c r="Z487" s="20">
        <f t="shared" si="98"/>
        <v>0</v>
      </c>
      <c r="AA487" s="20">
        <f t="shared" si="98"/>
        <v>0</v>
      </c>
      <c r="AB487" s="20">
        <f t="shared" si="98"/>
        <v>0</v>
      </c>
      <c r="AC487" s="20">
        <f t="shared" si="98"/>
        <v>0</v>
      </c>
      <c r="AD487" s="20">
        <f t="shared" si="98"/>
        <v>22654800</v>
      </c>
    </row>
    <row r="488" spans="1:38" x14ac:dyDescent="0.25">
      <c r="A488" s="3"/>
      <c r="B488" s="5" t="s">
        <v>36</v>
      </c>
      <c r="C488" s="11" t="s">
        <v>183</v>
      </c>
      <c r="D488" s="11">
        <v>1</v>
      </c>
      <c r="E488" s="11">
        <v>22</v>
      </c>
      <c r="F488" s="11">
        <v>921</v>
      </c>
      <c r="G488" s="11">
        <v>53030</v>
      </c>
      <c r="H488" s="21">
        <v>610</v>
      </c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>
        <f>T489</f>
        <v>7551600</v>
      </c>
      <c r="U488" s="20"/>
      <c r="V488" s="20"/>
      <c r="W488" s="20"/>
      <c r="X488" s="20"/>
      <c r="Y488" s="20">
        <f t="shared" si="98"/>
        <v>22654800</v>
      </c>
      <c r="Z488" s="20">
        <f t="shared" si="98"/>
        <v>0</v>
      </c>
      <c r="AA488" s="20">
        <f t="shared" si="98"/>
        <v>0</v>
      </c>
      <c r="AB488" s="20">
        <f t="shared" si="98"/>
        <v>0</v>
      </c>
      <c r="AC488" s="20">
        <f t="shared" si="98"/>
        <v>0</v>
      </c>
      <c r="AD488" s="20">
        <f t="shared" si="98"/>
        <v>22654800</v>
      </c>
    </row>
    <row r="489" spans="1:38" x14ac:dyDescent="0.25">
      <c r="A489" s="3"/>
      <c r="B489" s="5" t="s">
        <v>108</v>
      </c>
      <c r="C489" s="11" t="s">
        <v>183</v>
      </c>
      <c r="D489" s="11">
        <v>1</v>
      </c>
      <c r="E489" s="11">
        <v>22</v>
      </c>
      <c r="F489" s="11">
        <v>921</v>
      </c>
      <c r="G489" s="11">
        <v>53030</v>
      </c>
      <c r="H489" s="21">
        <v>612</v>
      </c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>
        <v>7551600</v>
      </c>
      <c r="T489" s="20">
        <f>S489</f>
        <v>7551600</v>
      </c>
      <c r="U489" s="20"/>
      <c r="V489" s="20"/>
      <c r="W489" s="20"/>
      <c r="X489" s="20"/>
      <c r="Y489" s="20">
        <v>22654800</v>
      </c>
      <c r="Z489" s="20"/>
      <c r="AA489" s="20"/>
      <c r="AB489" s="20"/>
      <c r="AC489" s="20"/>
      <c r="AD489" s="20">
        <v>22654800</v>
      </c>
    </row>
    <row r="490" spans="1:38" ht="27" customHeight="1" x14ac:dyDescent="0.15">
      <c r="A490" s="53" t="s">
        <v>194</v>
      </c>
      <c r="B490" s="49" t="s">
        <v>69</v>
      </c>
      <c r="C490" s="13" t="s">
        <v>183</v>
      </c>
      <c r="D490" s="13">
        <v>1</v>
      </c>
      <c r="E490" s="13">
        <v>22</v>
      </c>
      <c r="F490" s="13">
        <v>921</v>
      </c>
      <c r="G490" s="13">
        <v>80310</v>
      </c>
      <c r="H490" s="14"/>
      <c r="I490" s="15">
        <f t="shared" ref="I490:AD492" si="99">I491</f>
        <v>32866833.510000002</v>
      </c>
      <c r="J490" s="15">
        <f t="shared" si="99"/>
        <v>919453.57</v>
      </c>
      <c r="K490" s="15">
        <f t="shared" si="99"/>
        <v>-324569.5</v>
      </c>
      <c r="L490" s="15">
        <f t="shared" si="99"/>
        <v>-162065.59</v>
      </c>
      <c r="M490" s="15"/>
      <c r="N490" s="15">
        <f t="shared" si="99"/>
        <v>358054</v>
      </c>
      <c r="O490" s="15">
        <f t="shared" si="99"/>
        <v>1032826</v>
      </c>
      <c r="P490" s="15">
        <f t="shared" si="99"/>
        <v>708521</v>
      </c>
      <c r="Q490" s="15"/>
      <c r="R490" s="15"/>
      <c r="S490" s="15"/>
      <c r="T490" s="15">
        <f t="shared" si="99"/>
        <v>36603031.989999995</v>
      </c>
      <c r="U490" s="15"/>
      <c r="V490" s="15"/>
      <c r="W490" s="15"/>
      <c r="X490" s="15"/>
      <c r="Y490" s="15">
        <f t="shared" si="99"/>
        <v>32606478.010000002</v>
      </c>
      <c r="Z490" s="15"/>
      <c r="AA490" s="15"/>
      <c r="AB490" s="15"/>
      <c r="AC490" s="15"/>
      <c r="AD490" s="15">
        <f t="shared" si="99"/>
        <v>33521183.369999997</v>
      </c>
    </row>
    <row r="491" spans="1:38" ht="44.25" customHeight="1" x14ac:dyDescent="0.25">
      <c r="A491" s="5" t="s">
        <v>34</v>
      </c>
      <c r="B491" s="5" t="s">
        <v>34</v>
      </c>
      <c r="C491" s="11" t="s">
        <v>183</v>
      </c>
      <c r="D491" s="11">
        <v>1</v>
      </c>
      <c r="E491" s="11">
        <v>22</v>
      </c>
      <c r="F491" s="11">
        <v>921</v>
      </c>
      <c r="G491" s="11">
        <v>80310</v>
      </c>
      <c r="H491" s="21">
        <v>600</v>
      </c>
      <c r="I491" s="20">
        <f t="shared" si="99"/>
        <v>32866833.510000002</v>
      </c>
      <c r="J491" s="20">
        <f t="shared" si="99"/>
        <v>919453.57</v>
      </c>
      <c r="K491" s="20">
        <f t="shared" si="99"/>
        <v>-324569.5</v>
      </c>
      <c r="L491" s="20">
        <f t="shared" si="99"/>
        <v>-162065.59</v>
      </c>
      <c r="M491" s="20"/>
      <c r="N491" s="20">
        <f t="shared" si="99"/>
        <v>358054</v>
      </c>
      <c r="O491" s="20">
        <f t="shared" si="99"/>
        <v>1032826</v>
      </c>
      <c r="P491" s="20">
        <f t="shared" si="99"/>
        <v>708521</v>
      </c>
      <c r="Q491" s="20"/>
      <c r="R491" s="20"/>
      <c r="S491" s="20"/>
      <c r="T491" s="20">
        <f t="shared" si="99"/>
        <v>36603031.989999995</v>
      </c>
      <c r="U491" s="20"/>
      <c r="V491" s="20"/>
      <c r="W491" s="20"/>
      <c r="X491" s="20"/>
      <c r="Y491" s="20">
        <f t="shared" si="99"/>
        <v>32606478.010000002</v>
      </c>
      <c r="Z491" s="20"/>
      <c r="AA491" s="20"/>
      <c r="AB491" s="20"/>
      <c r="AC491" s="20"/>
      <c r="AD491" s="20">
        <f t="shared" si="99"/>
        <v>33521183.369999997</v>
      </c>
    </row>
    <row r="492" spans="1:38" s="44" customFormat="1" x14ac:dyDescent="0.25">
      <c r="A492" s="5" t="s">
        <v>36</v>
      </c>
      <c r="B492" s="5" t="s">
        <v>36</v>
      </c>
      <c r="C492" s="11" t="s">
        <v>183</v>
      </c>
      <c r="D492" s="11">
        <v>1</v>
      </c>
      <c r="E492" s="11">
        <v>22</v>
      </c>
      <c r="F492" s="11">
        <v>921</v>
      </c>
      <c r="G492" s="11">
        <v>80310</v>
      </c>
      <c r="H492" s="21">
        <v>610</v>
      </c>
      <c r="I492" s="20">
        <f t="shared" si="99"/>
        <v>32866833.510000002</v>
      </c>
      <c r="J492" s="20">
        <f t="shared" si="99"/>
        <v>919453.57</v>
      </c>
      <c r="K492" s="20">
        <f t="shared" si="99"/>
        <v>-324569.5</v>
      </c>
      <c r="L492" s="20">
        <f t="shared" si="99"/>
        <v>-162065.59</v>
      </c>
      <c r="M492" s="20"/>
      <c r="N492" s="20">
        <f t="shared" si="99"/>
        <v>358054</v>
      </c>
      <c r="O492" s="20">
        <f t="shared" si="99"/>
        <v>1032826</v>
      </c>
      <c r="P492" s="20">
        <f t="shared" si="99"/>
        <v>708521</v>
      </c>
      <c r="Q492" s="20"/>
      <c r="R492" s="20"/>
      <c r="S492" s="20"/>
      <c r="T492" s="20">
        <f t="shared" si="99"/>
        <v>36603031.989999995</v>
      </c>
      <c r="U492" s="20"/>
      <c r="V492" s="20"/>
      <c r="W492" s="20"/>
      <c r="X492" s="20"/>
      <c r="Y492" s="20">
        <f t="shared" si="99"/>
        <v>32606478.010000002</v>
      </c>
      <c r="Z492" s="20"/>
      <c r="AA492" s="20"/>
      <c r="AB492" s="20"/>
      <c r="AC492" s="20"/>
      <c r="AD492" s="20">
        <f t="shared" si="99"/>
        <v>33521183.369999997</v>
      </c>
      <c r="AF492" s="30"/>
      <c r="AG492" s="30"/>
      <c r="AH492" s="30"/>
      <c r="AI492" s="30"/>
      <c r="AJ492" s="30"/>
      <c r="AK492" s="30"/>
      <c r="AL492" s="30"/>
    </row>
    <row r="493" spans="1:38" s="44" customFormat="1" ht="56.25" x14ac:dyDescent="0.25">
      <c r="A493" s="5" t="s">
        <v>37</v>
      </c>
      <c r="B493" s="5" t="s">
        <v>37</v>
      </c>
      <c r="C493" s="11" t="s">
        <v>183</v>
      </c>
      <c r="D493" s="11">
        <v>1</v>
      </c>
      <c r="E493" s="11">
        <v>22</v>
      </c>
      <c r="F493" s="11">
        <v>921</v>
      </c>
      <c r="G493" s="11">
        <v>80310</v>
      </c>
      <c r="H493" s="21">
        <v>611</v>
      </c>
      <c r="I493" s="20">
        <v>32866833.510000002</v>
      </c>
      <c r="J493" s="20">
        <v>919453.57</v>
      </c>
      <c r="K493" s="20">
        <v>-324569.5</v>
      </c>
      <c r="L493" s="20">
        <v>-162065.59</v>
      </c>
      <c r="M493" s="20"/>
      <c r="N493" s="20">
        <v>358054</v>
      </c>
      <c r="O493" s="20">
        <v>1032826</v>
      </c>
      <c r="P493" s="20">
        <v>708521</v>
      </c>
      <c r="Q493" s="20"/>
      <c r="R493" s="20"/>
      <c r="S493" s="20">
        <v>1203979</v>
      </c>
      <c r="T493" s="20">
        <f>32866833.51+J493+K493+L493+N493+O493+P493+S493</f>
        <v>36603031.989999995</v>
      </c>
      <c r="U493" s="20">
        <v>-219400</v>
      </c>
      <c r="V493" s="20"/>
      <c r="W493" s="20"/>
      <c r="X493" s="20"/>
      <c r="Y493" s="20">
        <f>32825878.01+U493</f>
        <v>32606478.010000002</v>
      </c>
      <c r="Z493" s="20">
        <v>-209160</v>
      </c>
      <c r="AA493" s="20"/>
      <c r="AB493" s="20"/>
      <c r="AC493" s="20"/>
      <c r="AD493" s="20">
        <f>33730343.37+Z493</f>
        <v>33521183.369999997</v>
      </c>
      <c r="AF493" s="30"/>
      <c r="AG493" s="30"/>
      <c r="AH493" s="30"/>
      <c r="AI493" s="30"/>
      <c r="AJ493" s="30"/>
      <c r="AK493" s="30"/>
      <c r="AL493" s="30"/>
    </row>
    <row r="494" spans="1:38" s="44" customFormat="1" x14ac:dyDescent="0.25">
      <c r="A494" s="5"/>
      <c r="B494" s="49" t="s">
        <v>73</v>
      </c>
      <c r="C494" s="13" t="s">
        <v>183</v>
      </c>
      <c r="D494" s="13">
        <v>1</v>
      </c>
      <c r="E494" s="13">
        <v>22</v>
      </c>
      <c r="F494" s="13">
        <v>921</v>
      </c>
      <c r="G494" s="13">
        <v>80320</v>
      </c>
      <c r="H494" s="14"/>
      <c r="I494" s="15">
        <f t="shared" ref="I494:AD496" si="100">I495</f>
        <v>80386024.549999997</v>
      </c>
      <c r="J494" s="15">
        <f t="shared" si="100"/>
        <v>0</v>
      </c>
      <c r="K494" s="15">
        <f t="shared" si="100"/>
        <v>-500000</v>
      </c>
      <c r="L494" s="15">
        <f t="shared" si="100"/>
        <v>-230405.15</v>
      </c>
      <c r="M494" s="15"/>
      <c r="N494" s="15"/>
      <c r="O494" s="15">
        <f t="shared" si="100"/>
        <v>0</v>
      </c>
      <c r="P494" s="15">
        <f t="shared" si="100"/>
        <v>-57500</v>
      </c>
      <c r="Q494" s="15"/>
      <c r="R494" s="15"/>
      <c r="S494" s="15"/>
      <c r="T494" s="15">
        <f t="shared" si="100"/>
        <v>79755038.399999991</v>
      </c>
      <c r="U494" s="15"/>
      <c r="V494" s="15"/>
      <c r="W494" s="15"/>
      <c r="X494" s="15"/>
      <c r="Y494" s="15">
        <f t="shared" si="100"/>
        <v>83031900.5</v>
      </c>
      <c r="Z494" s="15"/>
      <c r="AA494" s="15"/>
      <c r="AB494" s="15"/>
      <c r="AC494" s="15"/>
      <c r="AD494" s="15">
        <f t="shared" si="100"/>
        <v>84654534.189999998</v>
      </c>
      <c r="AF494" s="30"/>
      <c r="AG494" s="30"/>
      <c r="AH494" s="30"/>
      <c r="AI494" s="30"/>
      <c r="AJ494" s="30"/>
      <c r="AK494" s="30"/>
      <c r="AL494" s="30"/>
    </row>
    <row r="495" spans="1:38" s="44" customFormat="1" ht="22.5" x14ac:dyDescent="0.25">
      <c r="A495" s="5"/>
      <c r="B495" s="5" t="s">
        <v>34</v>
      </c>
      <c r="C495" s="11" t="s">
        <v>183</v>
      </c>
      <c r="D495" s="11">
        <v>1</v>
      </c>
      <c r="E495" s="11">
        <v>22</v>
      </c>
      <c r="F495" s="11">
        <v>921</v>
      </c>
      <c r="G495" s="11">
        <v>80320</v>
      </c>
      <c r="H495" s="21">
        <v>600</v>
      </c>
      <c r="I495" s="20">
        <f t="shared" si="100"/>
        <v>80386024.549999997</v>
      </c>
      <c r="J495" s="20">
        <f t="shared" si="100"/>
        <v>0</v>
      </c>
      <c r="K495" s="20">
        <f t="shared" si="100"/>
        <v>-500000</v>
      </c>
      <c r="L495" s="20">
        <f t="shared" si="100"/>
        <v>-230405.15</v>
      </c>
      <c r="M495" s="20"/>
      <c r="N495" s="20"/>
      <c r="O495" s="20">
        <f t="shared" si="100"/>
        <v>0</v>
      </c>
      <c r="P495" s="20">
        <f t="shared" si="100"/>
        <v>-57500</v>
      </c>
      <c r="Q495" s="20"/>
      <c r="R495" s="20"/>
      <c r="S495" s="20"/>
      <c r="T495" s="20">
        <f t="shared" si="100"/>
        <v>79755038.399999991</v>
      </c>
      <c r="U495" s="20"/>
      <c r="V495" s="20"/>
      <c r="W495" s="20"/>
      <c r="X495" s="20"/>
      <c r="Y495" s="20">
        <f t="shared" si="100"/>
        <v>83031900.5</v>
      </c>
      <c r="Z495" s="20"/>
      <c r="AA495" s="20"/>
      <c r="AB495" s="20"/>
      <c r="AC495" s="20"/>
      <c r="AD495" s="20">
        <f t="shared" si="100"/>
        <v>84654534.189999998</v>
      </c>
      <c r="AF495" s="30"/>
      <c r="AG495" s="30"/>
      <c r="AH495" s="30"/>
      <c r="AI495" s="30"/>
      <c r="AJ495" s="30"/>
      <c r="AK495" s="30"/>
      <c r="AL495" s="30"/>
    </row>
    <row r="496" spans="1:38" s="44" customFormat="1" x14ac:dyDescent="0.25">
      <c r="A496" s="5"/>
      <c r="B496" s="5" t="s">
        <v>36</v>
      </c>
      <c r="C496" s="11" t="s">
        <v>183</v>
      </c>
      <c r="D496" s="11">
        <v>1</v>
      </c>
      <c r="E496" s="11">
        <v>22</v>
      </c>
      <c r="F496" s="11">
        <v>921</v>
      </c>
      <c r="G496" s="11">
        <v>80320</v>
      </c>
      <c r="H496" s="21">
        <v>610</v>
      </c>
      <c r="I496" s="20">
        <f t="shared" si="100"/>
        <v>80386024.549999997</v>
      </c>
      <c r="J496" s="20">
        <f t="shared" si="100"/>
        <v>0</v>
      </c>
      <c r="K496" s="20">
        <f t="shared" si="100"/>
        <v>-500000</v>
      </c>
      <c r="L496" s="20">
        <f t="shared" si="100"/>
        <v>-230405.15</v>
      </c>
      <c r="M496" s="20"/>
      <c r="N496" s="20"/>
      <c r="O496" s="20">
        <f t="shared" si="100"/>
        <v>0</v>
      </c>
      <c r="P496" s="20">
        <f t="shared" si="100"/>
        <v>-57500</v>
      </c>
      <c r="Q496" s="20"/>
      <c r="R496" s="20"/>
      <c r="S496" s="20"/>
      <c r="T496" s="20">
        <f t="shared" si="100"/>
        <v>79755038.399999991</v>
      </c>
      <c r="U496" s="20"/>
      <c r="V496" s="20"/>
      <c r="W496" s="20"/>
      <c r="X496" s="20"/>
      <c r="Y496" s="20">
        <f t="shared" si="100"/>
        <v>83031900.5</v>
      </c>
      <c r="Z496" s="20"/>
      <c r="AA496" s="20"/>
      <c r="AB496" s="20"/>
      <c r="AC496" s="20"/>
      <c r="AD496" s="20">
        <f t="shared" si="100"/>
        <v>84654534.189999998</v>
      </c>
      <c r="AF496" s="30"/>
      <c r="AG496" s="30"/>
      <c r="AH496" s="30"/>
      <c r="AI496" s="30"/>
      <c r="AJ496" s="30"/>
      <c r="AK496" s="30"/>
      <c r="AL496" s="30"/>
    </row>
    <row r="497" spans="1:39" s="44" customFormat="1" ht="45" x14ac:dyDescent="0.25">
      <c r="A497" s="5"/>
      <c r="B497" s="5" t="s">
        <v>37</v>
      </c>
      <c r="C497" s="11" t="s">
        <v>183</v>
      </c>
      <c r="D497" s="11">
        <v>1</v>
      </c>
      <c r="E497" s="11">
        <v>22</v>
      </c>
      <c r="F497" s="11">
        <v>921</v>
      </c>
      <c r="G497" s="11">
        <v>80320</v>
      </c>
      <c r="H497" s="21">
        <v>611</v>
      </c>
      <c r="I497" s="20">
        <v>80386024.549999997</v>
      </c>
      <c r="J497" s="20">
        <v>0</v>
      </c>
      <c r="K497" s="20">
        <v>-500000</v>
      </c>
      <c r="L497" s="20">
        <v>-230405.15</v>
      </c>
      <c r="M497" s="20"/>
      <c r="N497" s="20"/>
      <c r="O497" s="20">
        <v>0</v>
      </c>
      <c r="P497" s="20">
        <v>-57500</v>
      </c>
      <c r="Q497" s="20"/>
      <c r="R497" s="20"/>
      <c r="S497" s="20">
        <v>156919</v>
      </c>
      <c r="T497" s="20">
        <f>80386024.55+J497+K497+L497+O497+P497+S497</f>
        <v>79755038.399999991</v>
      </c>
      <c r="U497" s="20"/>
      <c r="V497" s="20"/>
      <c r="W497" s="20"/>
      <c r="X497" s="20"/>
      <c r="Y497" s="20">
        <v>83031900.5</v>
      </c>
      <c r="Z497" s="20"/>
      <c r="AA497" s="20"/>
      <c r="AB497" s="20"/>
      <c r="AC497" s="20"/>
      <c r="AD497" s="20">
        <v>84654534.189999998</v>
      </c>
      <c r="AF497" s="30"/>
      <c r="AG497" s="30"/>
      <c r="AH497" s="30"/>
      <c r="AI497" s="30"/>
      <c r="AJ497" s="30"/>
      <c r="AK497" s="30"/>
      <c r="AL497" s="30"/>
    </row>
    <row r="498" spans="1:39" s="44" customFormat="1" ht="36.75" customHeight="1" x14ac:dyDescent="0.25">
      <c r="A498" s="5"/>
      <c r="B498" s="49" t="s">
        <v>189</v>
      </c>
      <c r="C498" s="13" t="s">
        <v>183</v>
      </c>
      <c r="D498" s="13">
        <v>1</v>
      </c>
      <c r="E498" s="13">
        <v>22</v>
      </c>
      <c r="F498" s="13">
        <v>921</v>
      </c>
      <c r="G498" s="13">
        <v>82350</v>
      </c>
      <c r="H498" s="14"/>
      <c r="I498" s="15">
        <f t="shared" ref="I498:AD500" si="101">I499</f>
        <v>18430510</v>
      </c>
      <c r="J498" s="15">
        <f t="shared" si="101"/>
        <v>5219400</v>
      </c>
      <c r="K498" s="15"/>
      <c r="L498" s="15">
        <f t="shared" si="101"/>
        <v>-819228</v>
      </c>
      <c r="M498" s="15">
        <f t="shared" si="101"/>
        <v>-300000</v>
      </c>
      <c r="N498" s="15">
        <f t="shared" si="101"/>
        <v>-494407.04</v>
      </c>
      <c r="O498" s="15">
        <f t="shared" si="101"/>
        <v>0</v>
      </c>
      <c r="P498" s="15">
        <f t="shared" si="101"/>
        <v>-3468080</v>
      </c>
      <c r="Q498" s="15"/>
      <c r="R498" s="15"/>
      <c r="S498" s="15"/>
      <c r="T498" s="15">
        <f t="shared" si="101"/>
        <v>14586608.810000001</v>
      </c>
      <c r="U498" s="15"/>
      <c r="V498" s="15"/>
      <c r="W498" s="15"/>
      <c r="X498" s="15"/>
      <c r="Y498" s="15">
        <f t="shared" si="101"/>
        <v>18649910</v>
      </c>
      <c r="Z498" s="15"/>
      <c r="AA498" s="15"/>
      <c r="AB498" s="15"/>
      <c r="AC498" s="15"/>
      <c r="AD498" s="15">
        <f t="shared" si="101"/>
        <v>18639670</v>
      </c>
      <c r="AF498" s="30"/>
      <c r="AG498" s="30"/>
      <c r="AH498" s="30"/>
      <c r="AI498" s="30"/>
      <c r="AJ498" s="30"/>
      <c r="AK498" s="30"/>
      <c r="AL498" s="30"/>
    </row>
    <row r="499" spans="1:39" s="44" customFormat="1" ht="22.5" x14ac:dyDescent="0.25">
      <c r="A499" s="5"/>
      <c r="B499" s="5" t="s">
        <v>34</v>
      </c>
      <c r="C499" s="11" t="s">
        <v>183</v>
      </c>
      <c r="D499" s="11">
        <v>1</v>
      </c>
      <c r="E499" s="11">
        <v>22</v>
      </c>
      <c r="F499" s="11">
        <v>921</v>
      </c>
      <c r="G499" s="11">
        <v>82350</v>
      </c>
      <c r="H499" s="21">
        <v>600</v>
      </c>
      <c r="I499" s="20">
        <f t="shared" si="101"/>
        <v>18430510</v>
      </c>
      <c r="J499" s="20">
        <f t="shared" si="101"/>
        <v>5219400</v>
      </c>
      <c r="K499" s="20"/>
      <c r="L499" s="20">
        <f t="shared" si="101"/>
        <v>-819228</v>
      </c>
      <c r="M499" s="20">
        <f t="shared" si="101"/>
        <v>-300000</v>
      </c>
      <c r="N499" s="20">
        <f t="shared" si="101"/>
        <v>-494407.04</v>
      </c>
      <c r="O499" s="20">
        <f t="shared" si="101"/>
        <v>0</v>
      </c>
      <c r="P499" s="20">
        <f t="shared" si="101"/>
        <v>-3468080</v>
      </c>
      <c r="Q499" s="20"/>
      <c r="R499" s="20"/>
      <c r="S499" s="20"/>
      <c r="T499" s="20">
        <f t="shared" si="101"/>
        <v>14586608.810000001</v>
      </c>
      <c r="U499" s="20"/>
      <c r="V499" s="20"/>
      <c r="W499" s="20"/>
      <c r="X499" s="20"/>
      <c r="Y499" s="20">
        <f t="shared" si="101"/>
        <v>18649910</v>
      </c>
      <c r="Z499" s="20"/>
      <c r="AA499" s="20"/>
      <c r="AB499" s="20"/>
      <c r="AC499" s="20"/>
      <c r="AD499" s="20">
        <f t="shared" si="101"/>
        <v>18639670</v>
      </c>
      <c r="AF499" s="30"/>
      <c r="AG499" s="30"/>
      <c r="AH499" s="30"/>
      <c r="AI499" s="30"/>
      <c r="AJ499" s="30"/>
      <c r="AK499" s="30"/>
      <c r="AL499" s="30"/>
    </row>
    <row r="500" spans="1:39" s="44" customFormat="1" x14ac:dyDescent="0.25">
      <c r="A500" s="5"/>
      <c r="B500" s="5" t="s">
        <v>36</v>
      </c>
      <c r="C500" s="11" t="s">
        <v>183</v>
      </c>
      <c r="D500" s="11">
        <v>1</v>
      </c>
      <c r="E500" s="11">
        <v>22</v>
      </c>
      <c r="F500" s="11">
        <v>921</v>
      </c>
      <c r="G500" s="11">
        <v>82350</v>
      </c>
      <c r="H500" s="21">
        <v>610</v>
      </c>
      <c r="I500" s="20">
        <f t="shared" si="101"/>
        <v>18430510</v>
      </c>
      <c r="J500" s="20">
        <f t="shared" si="101"/>
        <v>5219400</v>
      </c>
      <c r="K500" s="20"/>
      <c r="L500" s="20">
        <f t="shared" si="101"/>
        <v>-819228</v>
      </c>
      <c r="M500" s="20">
        <f t="shared" si="101"/>
        <v>-300000</v>
      </c>
      <c r="N500" s="20">
        <f t="shared" si="101"/>
        <v>-494407.04</v>
      </c>
      <c r="O500" s="20">
        <f t="shared" si="101"/>
        <v>0</v>
      </c>
      <c r="P500" s="20">
        <f t="shared" si="101"/>
        <v>-3468080</v>
      </c>
      <c r="Q500" s="20"/>
      <c r="R500" s="20"/>
      <c r="S500" s="20"/>
      <c r="T500" s="20">
        <f t="shared" si="101"/>
        <v>14586608.810000001</v>
      </c>
      <c r="U500" s="20"/>
      <c r="V500" s="20"/>
      <c r="W500" s="20"/>
      <c r="X500" s="20"/>
      <c r="Y500" s="20">
        <f t="shared" si="101"/>
        <v>18649910</v>
      </c>
      <c r="Z500" s="20"/>
      <c r="AA500" s="20"/>
      <c r="AB500" s="20"/>
      <c r="AC500" s="20"/>
      <c r="AD500" s="20">
        <f t="shared" si="101"/>
        <v>18639670</v>
      </c>
      <c r="AF500" s="30"/>
      <c r="AG500" s="30"/>
      <c r="AH500" s="30"/>
      <c r="AI500" s="30"/>
      <c r="AJ500" s="30"/>
      <c r="AK500" s="30"/>
      <c r="AL500" s="30"/>
    </row>
    <row r="501" spans="1:39" s="44" customFormat="1" ht="45" x14ac:dyDescent="0.25">
      <c r="A501" s="5"/>
      <c r="B501" s="5" t="s">
        <v>37</v>
      </c>
      <c r="C501" s="11" t="s">
        <v>183</v>
      </c>
      <c r="D501" s="11">
        <v>1</v>
      </c>
      <c r="E501" s="11">
        <v>22</v>
      </c>
      <c r="F501" s="11">
        <v>921</v>
      </c>
      <c r="G501" s="11">
        <v>82350</v>
      </c>
      <c r="H501" s="21">
        <v>611</v>
      </c>
      <c r="I501" s="20">
        <v>18430510</v>
      </c>
      <c r="J501" s="20">
        <v>5219400</v>
      </c>
      <c r="K501" s="20"/>
      <c r="L501" s="20">
        <v>-819228</v>
      </c>
      <c r="M501" s="20">
        <v>-300000</v>
      </c>
      <c r="N501" s="20">
        <v>-494407.04</v>
      </c>
      <c r="O501" s="20">
        <v>0</v>
      </c>
      <c r="P501" s="20">
        <v>-3468080</v>
      </c>
      <c r="Q501" s="20"/>
      <c r="R501" s="20"/>
      <c r="S501" s="20">
        <v>-3981586.15</v>
      </c>
      <c r="T501" s="20">
        <f>18430510+J501+L501+M501+N501+O501+P501+S501</f>
        <v>14586608.810000001</v>
      </c>
      <c r="U501" s="20">
        <v>219400</v>
      </c>
      <c r="V501" s="20"/>
      <c r="W501" s="20"/>
      <c r="X501" s="20"/>
      <c r="Y501" s="20">
        <f>18430510+U501</f>
        <v>18649910</v>
      </c>
      <c r="Z501" s="20">
        <v>209160</v>
      </c>
      <c r="AA501" s="20"/>
      <c r="AB501" s="20"/>
      <c r="AC501" s="20"/>
      <c r="AD501" s="20">
        <f>18430510+Z501</f>
        <v>18639670</v>
      </c>
      <c r="AF501" s="30"/>
      <c r="AG501" s="30"/>
      <c r="AH501" s="30"/>
      <c r="AI501" s="30"/>
      <c r="AJ501" s="30"/>
      <c r="AK501" s="30"/>
      <c r="AL501" s="30"/>
    </row>
    <row r="502" spans="1:39" s="44" customFormat="1" ht="21" x14ac:dyDescent="0.25">
      <c r="A502" s="3"/>
      <c r="B502" s="3" t="s">
        <v>127</v>
      </c>
      <c r="C502" s="13" t="s">
        <v>183</v>
      </c>
      <c r="D502" s="13">
        <v>1</v>
      </c>
      <c r="E502" s="13">
        <v>22</v>
      </c>
      <c r="F502" s="13">
        <v>921</v>
      </c>
      <c r="G502" s="13">
        <v>83360</v>
      </c>
      <c r="H502" s="14"/>
      <c r="I502" s="15">
        <f t="shared" ref="I502:AD504" si="102">I503</f>
        <v>19337404.32</v>
      </c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>
        <f t="shared" si="102"/>
        <v>19898679.32</v>
      </c>
      <c r="U502" s="15"/>
      <c r="V502" s="15"/>
      <c r="W502" s="15"/>
      <c r="X502" s="15"/>
      <c r="Y502" s="15">
        <f t="shared" si="102"/>
        <v>19332904.32</v>
      </c>
      <c r="Z502" s="15"/>
      <c r="AA502" s="15"/>
      <c r="AB502" s="15"/>
      <c r="AC502" s="15"/>
      <c r="AD502" s="15">
        <f t="shared" si="102"/>
        <v>19332804.32</v>
      </c>
      <c r="AF502" s="30"/>
      <c r="AG502" s="30"/>
      <c r="AH502" s="30"/>
      <c r="AI502" s="30"/>
      <c r="AJ502" s="30"/>
      <c r="AK502" s="30"/>
      <c r="AL502" s="30"/>
    </row>
    <row r="503" spans="1:39" s="44" customFormat="1" ht="22.5" x14ac:dyDescent="0.25">
      <c r="A503" s="5"/>
      <c r="B503" s="5" t="s">
        <v>34</v>
      </c>
      <c r="C503" s="11" t="s">
        <v>183</v>
      </c>
      <c r="D503" s="11">
        <v>1</v>
      </c>
      <c r="E503" s="11">
        <v>22</v>
      </c>
      <c r="F503" s="11">
        <v>921</v>
      </c>
      <c r="G503" s="11">
        <v>83360</v>
      </c>
      <c r="H503" s="21">
        <v>600</v>
      </c>
      <c r="I503" s="20">
        <f t="shared" si="102"/>
        <v>19337404.32</v>
      </c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>
        <f t="shared" si="102"/>
        <v>19898679.32</v>
      </c>
      <c r="U503" s="20"/>
      <c r="V503" s="20"/>
      <c r="W503" s="20"/>
      <c r="X503" s="20"/>
      <c r="Y503" s="20">
        <f t="shared" si="102"/>
        <v>19332904.32</v>
      </c>
      <c r="Z503" s="20"/>
      <c r="AA503" s="20"/>
      <c r="AB503" s="20"/>
      <c r="AC503" s="20"/>
      <c r="AD503" s="20">
        <f t="shared" si="102"/>
        <v>19332804.32</v>
      </c>
      <c r="AF503" s="10">
        <f>AF504+AF505</f>
        <v>20306450.84</v>
      </c>
      <c r="AG503" s="10">
        <f>AG504+AG505</f>
        <v>20308974.84</v>
      </c>
      <c r="AH503" s="10">
        <f>AH504+AH505</f>
        <v>20308974.84</v>
      </c>
      <c r="AI503" s="30"/>
      <c r="AJ503" s="30"/>
      <c r="AK503" s="30"/>
      <c r="AL503" s="30"/>
    </row>
    <row r="504" spans="1:39" s="44" customFormat="1" x14ac:dyDescent="0.25">
      <c r="A504" s="5"/>
      <c r="B504" s="5" t="s">
        <v>36</v>
      </c>
      <c r="C504" s="11" t="s">
        <v>183</v>
      </c>
      <c r="D504" s="11">
        <v>1</v>
      </c>
      <c r="E504" s="11">
        <v>22</v>
      </c>
      <c r="F504" s="11">
        <v>921</v>
      </c>
      <c r="G504" s="11">
        <v>83360</v>
      </c>
      <c r="H504" s="21">
        <v>610</v>
      </c>
      <c r="I504" s="20">
        <f t="shared" si="102"/>
        <v>19337404.32</v>
      </c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>
        <f t="shared" si="102"/>
        <v>19898679.32</v>
      </c>
      <c r="U504" s="20"/>
      <c r="V504" s="20"/>
      <c r="W504" s="20"/>
      <c r="X504" s="20"/>
      <c r="Y504" s="20">
        <f t="shared" si="102"/>
        <v>19332904.32</v>
      </c>
      <c r="Z504" s="20"/>
      <c r="AA504" s="20"/>
      <c r="AB504" s="20"/>
      <c r="AC504" s="20"/>
      <c r="AD504" s="20">
        <f t="shared" si="102"/>
        <v>19332804.32</v>
      </c>
      <c r="AF504" s="10">
        <v>10408972</v>
      </c>
      <c r="AG504" s="10">
        <v>10408972</v>
      </c>
      <c r="AH504" s="10">
        <v>10408972</v>
      </c>
      <c r="AI504" s="30">
        <v>9521998</v>
      </c>
      <c r="AJ504" s="30">
        <v>9531498</v>
      </c>
      <c r="AK504" s="30">
        <v>9531398</v>
      </c>
      <c r="AL504" s="30"/>
    </row>
    <row r="505" spans="1:39" s="44" customFormat="1" ht="78.75" customHeight="1" x14ac:dyDescent="0.25">
      <c r="A505" s="5"/>
      <c r="B505" s="5" t="s">
        <v>37</v>
      </c>
      <c r="C505" s="11" t="s">
        <v>183</v>
      </c>
      <c r="D505" s="11">
        <v>1</v>
      </c>
      <c r="E505" s="11">
        <v>22</v>
      </c>
      <c r="F505" s="11">
        <v>921</v>
      </c>
      <c r="G505" s="11">
        <v>83360</v>
      </c>
      <c r="H505" s="21">
        <v>611</v>
      </c>
      <c r="I505" s="20">
        <v>19337404.32</v>
      </c>
      <c r="J505" s="20"/>
      <c r="K505" s="20"/>
      <c r="L505" s="20"/>
      <c r="M505" s="20"/>
      <c r="N505" s="20"/>
      <c r="O505" s="20"/>
      <c r="P505" s="20"/>
      <c r="Q505" s="20"/>
      <c r="R505" s="20"/>
      <c r="S505" s="20">
        <v>561275</v>
      </c>
      <c r="T505" s="20">
        <f>19337404.32+S505</f>
        <v>19898679.32</v>
      </c>
      <c r="U505" s="20"/>
      <c r="V505" s="20"/>
      <c r="W505" s="20"/>
      <c r="X505" s="20"/>
      <c r="Y505" s="20">
        <v>19332904.32</v>
      </c>
      <c r="Z505" s="20"/>
      <c r="AA505" s="20"/>
      <c r="AB505" s="20"/>
      <c r="AC505" s="20"/>
      <c r="AD505" s="20">
        <v>19332804.32</v>
      </c>
      <c r="AF505" s="10">
        <v>9897478.8399999999</v>
      </c>
      <c r="AG505" s="10">
        <v>9900002.8399999999</v>
      </c>
      <c r="AH505" s="10">
        <v>9900002.8399999999</v>
      </c>
      <c r="AI505" s="20">
        <v>9815406.3200000003</v>
      </c>
      <c r="AJ505" s="20">
        <v>9801406.3200000003</v>
      </c>
      <c r="AK505" s="20">
        <v>9801406.3200000003</v>
      </c>
      <c r="AL505" s="30"/>
      <c r="AM505" s="44">
        <v>83360</v>
      </c>
    </row>
    <row r="506" spans="1:39" s="44" customFormat="1" ht="78.75" customHeight="1" x14ac:dyDescent="0.25">
      <c r="A506" s="3"/>
      <c r="B506" s="3" t="s">
        <v>365</v>
      </c>
      <c r="C506" s="13" t="s">
        <v>183</v>
      </c>
      <c r="D506" s="13">
        <v>1</v>
      </c>
      <c r="E506" s="13">
        <v>22</v>
      </c>
      <c r="F506" s="13">
        <v>921</v>
      </c>
      <c r="G506" s="13" t="s">
        <v>366</v>
      </c>
      <c r="H506" s="14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>
        <f>T507</f>
        <v>13218602.15</v>
      </c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F506" s="30"/>
      <c r="AG506" s="30"/>
      <c r="AH506" s="30"/>
      <c r="AI506" s="43"/>
      <c r="AJ506" s="43"/>
      <c r="AK506" s="43"/>
      <c r="AL506" s="30"/>
    </row>
    <row r="507" spans="1:39" s="44" customFormat="1" ht="22.5" x14ac:dyDescent="0.25">
      <c r="A507" s="5"/>
      <c r="B507" s="5" t="s">
        <v>34</v>
      </c>
      <c r="C507" s="11" t="s">
        <v>183</v>
      </c>
      <c r="D507" s="11">
        <v>1</v>
      </c>
      <c r="E507" s="11">
        <v>22</v>
      </c>
      <c r="F507" s="11">
        <v>921</v>
      </c>
      <c r="G507" s="11" t="s">
        <v>366</v>
      </c>
      <c r="H507" s="21">
        <v>600</v>
      </c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>
        <f>T508</f>
        <v>13218602.15</v>
      </c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F507" s="10"/>
      <c r="AG507" s="10"/>
      <c r="AH507" s="10"/>
      <c r="AI507" s="27"/>
      <c r="AJ507" s="27"/>
      <c r="AK507" s="27"/>
      <c r="AL507" s="30"/>
    </row>
    <row r="508" spans="1:39" s="44" customFormat="1" x14ac:dyDescent="0.25">
      <c r="A508" s="5"/>
      <c r="B508" s="5" t="s">
        <v>36</v>
      </c>
      <c r="C508" s="11" t="s">
        <v>183</v>
      </c>
      <c r="D508" s="11">
        <v>1</v>
      </c>
      <c r="E508" s="11">
        <v>22</v>
      </c>
      <c r="F508" s="11">
        <v>921</v>
      </c>
      <c r="G508" s="11" t="s">
        <v>366</v>
      </c>
      <c r="H508" s="21">
        <v>610</v>
      </c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>
        <f>T509</f>
        <v>13218602.15</v>
      </c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F508" s="10"/>
      <c r="AG508" s="10"/>
      <c r="AH508" s="10"/>
      <c r="AI508" s="27"/>
      <c r="AJ508" s="27"/>
      <c r="AK508" s="27"/>
      <c r="AL508" s="30"/>
    </row>
    <row r="509" spans="1:39" s="44" customFormat="1" x14ac:dyDescent="0.25">
      <c r="A509" s="5"/>
      <c r="B509" s="5" t="s">
        <v>108</v>
      </c>
      <c r="C509" s="11" t="s">
        <v>183</v>
      </c>
      <c r="D509" s="11">
        <v>1</v>
      </c>
      <c r="E509" s="11">
        <v>22</v>
      </c>
      <c r="F509" s="11">
        <v>921</v>
      </c>
      <c r="G509" s="11" t="s">
        <v>366</v>
      </c>
      <c r="H509" s="21">
        <v>612</v>
      </c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>
        <v>13218602.15</v>
      </c>
      <c r="T509" s="20">
        <f>S509</f>
        <v>13218602.15</v>
      </c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F509" s="10"/>
      <c r="AG509" s="10"/>
      <c r="AH509" s="10"/>
      <c r="AI509" s="27"/>
      <c r="AJ509" s="27"/>
      <c r="AK509" s="27"/>
      <c r="AL509" s="30"/>
    </row>
    <row r="510" spans="1:39" s="44" customFormat="1" x14ac:dyDescent="0.25">
      <c r="A510" s="5"/>
      <c r="B510" s="3" t="s">
        <v>20</v>
      </c>
      <c r="C510" s="13" t="s">
        <v>183</v>
      </c>
      <c r="D510" s="13">
        <v>1</v>
      </c>
      <c r="E510" s="13">
        <v>22</v>
      </c>
      <c r="F510" s="13">
        <v>902</v>
      </c>
      <c r="G510" s="13"/>
      <c r="H510" s="14"/>
      <c r="I510" s="15">
        <f>I511</f>
        <v>0</v>
      </c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>
        <f>T511</f>
        <v>0</v>
      </c>
      <c r="U510" s="15"/>
      <c r="V510" s="15"/>
      <c r="W510" s="15"/>
      <c r="X510" s="15"/>
      <c r="Y510" s="15">
        <f>Y511</f>
        <v>0</v>
      </c>
      <c r="Z510" s="15"/>
      <c r="AA510" s="15"/>
      <c r="AB510" s="15"/>
      <c r="AC510" s="15"/>
      <c r="AD510" s="15">
        <f>AD511+AD515</f>
        <v>21052631.579999998</v>
      </c>
      <c r="AF510" s="10"/>
      <c r="AG510" s="10"/>
      <c r="AH510" s="10"/>
      <c r="AI510" s="27"/>
      <c r="AJ510" s="27"/>
      <c r="AK510" s="27"/>
      <c r="AL510" s="30"/>
    </row>
    <row r="511" spans="1:39" s="44" customFormat="1" ht="21" x14ac:dyDescent="0.25">
      <c r="A511" s="5"/>
      <c r="B511" s="3" t="s">
        <v>141</v>
      </c>
      <c r="C511" s="13" t="s">
        <v>183</v>
      </c>
      <c r="D511" s="13">
        <v>1</v>
      </c>
      <c r="E511" s="13">
        <v>22</v>
      </c>
      <c r="F511" s="13">
        <v>902</v>
      </c>
      <c r="G511" s="13" t="s">
        <v>142</v>
      </c>
      <c r="H511" s="14"/>
      <c r="I511" s="15">
        <f t="shared" ref="I511:AD513" si="103">I512</f>
        <v>0</v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>
        <f t="shared" si="103"/>
        <v>0</v>
      </c>
      <c r="U511" s="15"/>
      <c r="V511" s="15"/>
      <c r="W511" s="15"/>
      <c r="X511" s="15"/>
      <c r="Y511" s="15">
        <f t="shared" si="103"/>
        <v>0</v>
      </c>
      <c r="Z511" s="15"/>
      <c r="AA511" s="15"/>
      <c r="AB511" s="15"/>
      <c r="AC511" s="15"/>
      <c r="AD511" s="15">
        <f t="shared" si="103"/>
        <v>0</v>
      </c>
      <c r="AF511" s="10"/>
      <c r="AG511" s="10"/>
      <c r="AH511" s="10"/>
      <c r="AI511" s="27"/>
      <c r="AJ511" s="27"/>
      <c r="AK511" s="27"/>
      <c r="AL511" s="30"/>
    </row>
    <row r="512" spans="1:39" s="44" customFormat="1" ht="22.5" x14ac:dyDescent="0.25">
      <c r="A512" s="5"/>
      <c r="B512" s="5" t="s">
        <v>70</v>
      </c>
      <c r="C512" s="11" t="s">
        <v>183</v>
      </c>
      <c r="D512" s="11">
        <v>1</v>
      </c>
      <c r="E512" s="11">
        <v>22</v>
      </c>
      <c r="F512" s="11">
        <v>902</v>
      </c>
      <c r="G512" s="11" t="s">
        <v>142</v>
      </c>
      <c r="H512" s="21">
        <v>400</v>
      </c>
      <c r="I512" s="20">
        <f t="shared" si="103"/>
        <v>0</v>
      </c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>
        <f t="shared" si="103"/>
        <v>0</v>
      </c>
      <c r="U512" s="20"/>
      <c r="V512" s="20"/>
      <c r="W512" s="20"/>
      <c r="X512" s="20"/>
      <c r="Y512" s="20">
        <f t="shared" si="103"/>
        <v>0</v>
      </c>
      <c r="Z512" s="20"/>
      <c r="AA512" s="20"/>
      <c r="AB512" s="20"/>
      <c r="AC512" s="20"/>
      <c r="AD512" s="20">
        <f t="shared" si="103"/>
        <v>0</v>
      </c>
      <c r="AF512" s="10"/>
      <c r="AG512" s="10"/>
      <c r="AH512" s="10"/>
      <c r="AI512" s="27"/>
      <c r="AJ512" s="27"/>
      <c r="AK512" s="27"/>
      <c r="AL512" s="30"/>
    </row>
    <row r="513" spans="1:38" s="44" customFormat="1" x14ac:dyDescent="0.25">
      <c r="A513" s="5"/>
      <c r="B513" s="5" t="s">
        <v>71</v>
      </c>
      <c r="C513" s="11" t="s">
        <v>183</v>
      </c>
      <c r="D513" s="11">
        <v>1</v>
      </c>
      <c r="E513" s="11">
        <v>22</v>
      </c>
      <c r="F513" s="11">
        <v>902</v>
      </c>
      <c r="G513" s="11" t="s">
        <v>142</v>
      </c>
      <c r="H513" s="21">
        <v>410</v>
      </c>
      <c r="I513" s="20">
        <f t="shared" si="103"/>
        <v>0</v>
      </c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>
        <f t="shared" si="103"/>
        <v>0</v>
      </c>
      <c r="U513" s="20"/>
      <c r="V513" s="20"/>
      <c r="W513" s="20"/>
      <c r="X513" s="20"/>
      <c r="Y513" s="20">
        <f t="shared" si="103"/>
        <v>0</v>
      </c>
      <c r="Z513" s="20"/>
      <c r="AA513" s="20"/>
      <c r="AB513" s="20"/>
      <c r="AC513" s="20"/>
      <c r="AD513" s="20">
        <f t="shared" si="103"/>
        <v>0</v>
      </c>
      <c r="AF513" s="10"/>
      <c r="AG513" s="10"/>
      <c r="AH513" s="10"/>
      <c r="AI513" s="27"/>
      <c r="AJ513" s="27"/>
      <c r="AK513" s="27"/>
      <c r="AL513" s="30"/>
    </row>
    <row r="514" spans="1:38" s="44" customFormat="1" ht="33.75" x14ac:dyDescent="0.25">
      <c r="A514" s="5"/>
      <c r="B514" s="5" t="s">
        <v>94</v>
      </c>
      <c r="C514" s="11" t="s">
        <v>183</v>
      </c>
      <c r="D514" s="11">
        <v>1</v>
      </c>
      <c r="E514" s="11">
        <v>22</v>
      </c>
      <c r="F514" s="11">
        <v>902</v>
      </c>
      <c r="G514" s="11" t="s">
        <v>142</v>
      </c>
      <c r="H514" s="21">
        <v>414</v>
      </c>
      <c r="I514" s="20">
        <v>0</v>
      </c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>
        <v>0</v>
      </c>
      <c r="U514" s="20"/>
      <c r="V514" s="20"/>
      <c r="W514" s="20"/>
      <c r="X514" s="20"/>
      <c r="Y514" s="20">
        <v>0</v>
      </c>
      <c r="Z514" s="20">
        <v>-21052631.579999998</v>
      </c>
      <c r="AA514" s="20"/>
      <c r="AB514" s="20"/>
      <c r="AC514" s="20"/>
      <c r="AD514" s="20">
        <f>21052631.58+Z514</f>
        <v>0</v>
      </c>
      <c r="AF514" s="10"/>
      <c r="AG514" s="10"/>
      <c r="AH514" s="10"/>
      <c r="AI514" s="27"/>
      <c r="AJ514" s="27"/>
      <c r="AK514" s="27"/>
      <c r="AL514" s="30"/>
    </row>
    <row r="515" spans="1:38" s="44" customFormat="1" ht="21" x14ac:dyDescent="0.25">
      <c r="A515" s="5"/>
      <c r="B515" s="3" t="s">
        <v>141</v>
      </c>
      <c r="C515" s="13" t="s">
        <v>183</v>
      </c>
      <c r="D515" s="13">
        <v>1</v>
      </c>
      <c r="E515" s="13" t="s">
        <v>316</v>
      </c>
      <c r="F515" s="13">
        <v>902</v>
      </c>
      <c r="G515" s="13">
        <v>11270</v>
      </c>
      <c r="H515" s="14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>
        <f>AD516</f>
        <v>21052631.579999998</v>
      </c>
      <c r="AF515" s="10"/>
      <c r="AG515" s="10"/>
      <c r="AH515" s="10"/>
      <c r="AI515" s="27"/>
      <c r="AJ515" s="27"/>
      <c r="AK515" s="27"/>
      <c r="AL515" s="30"/>
    </row>
    <row r="516" spans="1:38" s="44" customFormat="1" ht="22.5" x14ac:dyDescent="0.25">
      <c r="A516" s="5"/>
      <c r="B516" s="5" t="s">
        <v>70</v>
      </c>
      <c r="C516" s="11" t="s">
        <v>183</v>
      </c>
      <c r="D516" s="11">
        <v>1</v>
      </c>
      <c r="E516" s="11" t="s">
        <v>316</v>
      </c>
      <c r="F516" s="11">
        <v>902</v>
      </c>
      <c r="G516" s="11">
        <v>11270</v>
      </c>
      <c r="H516" s="21">
        <v>400</v>
      </c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>
        <f>AD517</f>
        <v>21052631.579999998</v>
      </c>
      <c r="AF516" s="10"/>
      <c r="AG516" s="10"/>
      <c r="AH516" s="10"/>
      <c r="AI516" s="27"/>
      <c r="AJ516" s="27"/>
      <c r="AK516" s="27"/>
      <c r="AL516" s="30"/>
    </row>
    <row r="517" spans="1:38" s="44" customFormat="1" x14ac:dyDescent="0.25">
      <c r="A517" s="5"/>
      <c r="B517" s="5" t="s">
        <v>71</v>
      </c>
      <c r="C517" s="11" t="s">
        <v>183</v>
      </c>
      <c r="D517" s="11">
        <v>1</v>
      </c>
      <c r="E517" s="11" t="s">
        <v>316</v>
      </c>
      <c r="F517" s="11">
        <v>902</v>
      </c>
      <c r="G517" s="11">
        <v>11270</v>
      </c>
      <c r="H517" s="21">
        <v>410</v>
      </c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>
        <f>AD518</f>
        <v>21052631.579999998</v>
      </c>
      <c r="AF517" s="10"/>
      <c r="AG517" s="10"/>
      <c r="AH517" s="10"/>
      <c r="AI517" s="27"/>
      <c r="AJ517" s="27"/>
      <c r="AK517" s="27"/>
      <c r="AL517" s="30"/>
    </row>
    <row r="518" spans="1:38" s="44" customFormat="1" ht="33.75" x14ac:dyDescent="0.25">
      <c r="A518" s="5"/>
      <c r="B518" s="5" t="s">
        <v>94</v>
      </c>
      <c r="C518" s="11" t="s">
        <v>183</v>
      </c>
      <c r="D518" s="11">
        <v>1</v>
      </c>
      <c r="E518" s="11" t="s">
        <v>316</v>
      </c>
      <c r="F518" s="11">
        <v>902</v>
      </c>
      <c r="G518" s="11">
        <v>11270</v>
      </c>
      <c r="H518" s="21">
        <v>414</v>
      </c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>
        <v>21052631.579999998</v>
      </c>
      <c r="AA518" s="20"/>
      <c r="AB518" s="20"/>
      <c r="AC518" s="20"/>
      <c r="AD518" s="20">
        <f>Z518</f>
        <v>21052631.579999998</v>
      </c>
      <c r="AF518" s="10"/>
      <c r="AG518" s="10"/>
      <c r="AH518" s="10"/>
      <c r="AI518" s="27"/>
      <c r="AJ518" s="27"/>
      <c r="AK518" s="27"/>
      <c r="AL518" s="30"/>
    </row>
    <row r="519" spans="1:38" s="44" customFormat="1" ht="21" hidden="1" x14ac:dyDescent="0.25">
      <c r="A519" s="5"/>
      <c r="B519" s="3" t="s">
        <v>178</v>
      </c>
      <c r="C519" s="13" t="s">
        <v>183</v>
      </c>
      <c r="D519" s="13">
        <v>1</v>
      </c>
      <c r="E519" s="13">
        <v>22</v>
      </c>
      <c r="F519" s="13">
        <v>903</v>
      </c>
      <c r="G519" s="13"/>
      <c r="H519" s="14"/>
      <c r="I519" s="15">
        <f>I520</f>
        <v>0</v>
      </c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>
        <f>T520</f>
        <v>0</v>
      </c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F519" s="30"/>
      <c r="AG519" s="30"/>
      <c r="AH519" s="30"/>
      <c r="AI519" s="30">
        <f>SUM(AI504:AI505)</f>
        <v>19337404.32</v>
      </c>
      <c r="AJ519" s="30">
        <f>SUM(AJ504:AJ505)</f>
        <v>19332904.32</v>
      </c>
      <c r="AK519" s="30">
        <f>SUM(AK504:AK505)</f>
        <v>19332804.32</v>
      </c>
      <c r="AL519" s="30"/>
    </row>
    <row r="520" spans="1:38" s="44" customFormat="1" ht="42" hidden="1" x14ac:dyDescent="0.25">
      <c r="A520" s="5"/>
      <c r="B520" s="3" t="s">
        <v>195</v>
      </c>
      <c r="C520" s="13" t="s">
        <v>183</v>
      </c>
      <c r="D520" s="13">
        <v>1</v>
      </c>
      <c r="E520" s="13">
        <v>22</v>
      </c>
      <c r="F520" s="13">
        <v>903</v>
      </c>
      <c r="G520" s="13">
        <v>81680</v>
      </c>
      <c r="H520" s="14"/>
      <c r="I520" s="15">
        <f>I521</f>
        <v>0</v>
      </c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>
        <f>T521</f>
        <v>0</v>
      </c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F520" s="30"/>
      <c r="AG520" s="30"/>
      <c r="AH520" s="30"/>
      <c r="AI520" s="30"/>
      <c r="AJ520" s="30"/>
      <c r="AK520" s="30"/>
      <c r="AL520" s="30"/>
    </row>
    <row r="521" spans="1:38" s="44" customFormat="1" ht="33.75" hidden="1" x14ac:dyDescent="0.25">
      <c r="A521" s="5"/>
      <c r="B521" s="5" t="s">
        <v>70</v>
      </c>
      <c r="C521" s="11" t="s">
        <v>183</v>
      </c>
      <c r="D521" s="11">
        <v>1</v>
      </c>
      <c r="E521" s="11">
        <v>22</v>
      </c>
      <c r="F521" s="11">
        <v>903</v>
      </c>
      <c r="G521" s="11">
        <v>81680</v>
      </c>
      <c r="H521" s="21">
        <v>400</v>
      </c>
      <c r="I521" s="20">
        <f>I522</f>
        <v>0</v>
      </c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>
        <f>T522</f>
        <v>0</v>
      </c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F521" s="30"/>
      <c r="AG521" s="30"/>
      <c r="AH521" s="30"/>
      <c r="AI521" s="30"/>
      <c r="AJ521" s="30"/>
      <c r="AK521" s="30"/>
      <c r="AL521" s="30"/>
    </row>
    <row r="522" spans="1:38" s="44" customFormat="1" hidden="1" x14ac:dyDescent="0.25">
      <c r="A522" s="5"/>
      <c r="B522" s="5" t="s">
        <v>71</v>
      </c>
      <c r="C522" s="11" t="s">
        <v>183</v>
      </c>
      <c r="D522" s="11">
        <v>1</v>
      </c>
      <c r="E522" s="11">
        <v>22</v>
      </c>
      <c r="F522" s="11">
        <v>903</v>
      </c>
      <c r="G522" s="11">
        <v>81680</v>
      </c>
      <c r="H522" s="21">
        <v>410</v>
      </c>
      <c r="I522" s="20">
        <f>I523</f>
        <v>0</v>
      </c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>
        <f>T523</f>
        <v>0</v>
      </c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F522" s="30"/>
      <c r="AG522" s="30"/>
      <c r="AH522" s="30"/>
      <c r="AI522" s="30"/>
      <c r="AJ522" s="30"/>
      <c r="AK522" s="30"/>
      <c r="AL522" s="30"/>
    </row>
    <row r="523" spans="1:38" s="44" customFormat="1" ht="56.25" hidden="1" x14ac:dyDescent="0.25">
      <c r="A523" s="5"/>
      <c r="B523" s="5" t="s">
        <v>72</v>
      </c>
      <c r="C523" s="11" t="s">
        <v>183</v>
      </c>
      <c r="D523" s="11">
        <v>1</v>
      </c>
      <c r="E523" s="11">
        <v>22</v>
      </c>
      <c r="F523" s="11">
        <v>903</v>
      </c>
      <c r="G523" s="11">
        <v>81680</v>
      </c>
      <c r="H523" s="21">
        <v>412</v>
      </c>
      <c r="I523" s="20">
        <v>0</v>
      </c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>
        <v>0</v>
      </c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F523" s="30"/>
      <c r="AG523" s="30"/>
      <c r="AH523" s="30"/>
      <c r="AI523" s="30"/>
      <c r="AJ523" s="30"/>
      <c r="AK523" s="30"/>
      <c r="AL523" s="30"/>
    </row>
    <row r="524" spans="1:38" ht="78.75" customHeight="1" x14ac:dyDescent="0.25">
      <c r="A524" s="58" t="s">
        <v>192</v>
      </c>
      <c r="B524" s="3" t="s">
        <v>192</v>
      </c>
      <c r="C524" s="13" t="s">
        <v>183</v>
      </c>
      <c r="D524" s="13">
        <v>1</v>
      </c>
      <c r="E524" s="13">
        <v>42</v>
      </c>
      <c r="F524" s="25"/>
      <c r="G524" s="24"/>
      <c r="H524" s="24"/>
      <c r="I524" s="15">
        <f t="shared" ref="I524:AD528" si="104">I525</f>
        <v>1372800</v>
      </c>
      <c r="J524" s="15">
        <f t="shared" si="104"/>
        <v>0</v>
      </c>
      <c r="K524" s="15"/>
      <c r="L524" s="15"/>
      <c r="M524" s="15"/>
      <c r="N524" s="15"/>
      <c r="O524" s="15"/>
      <c r="P524" s="15"/>
      <c r="Q524" s="15"/>
      <c r="R524" s="15"/>
      <c r="S524" s="15"/>
      <c r="T524" s="15">
        <f t="shared" si="104"/>
        <v>1372800</v>
      </c>
      <c r="U524" s="15"/>
      <c r="V524" s="15"/>
      <c r="W524" s="15"/>
      <c r="X524" s="15"/>
      <c r="Y524" s="15">
        <f t="shared" si="104"/>
        <v>1372800</v>
      </c>
      <c r="Z524" s="15"/>
      <c r="AA524" s="15"/>
      <c r="AB524" s="15"/>
      <c r="AC524" s="15"/>
      <c r="AD524" s="15">
        <f t="shared" si="104"/>
        <v>1372800</v>
      </c>
    </row>
    <row r="525" spans="1:38" ht="31.5" customHeight="1" x14ac:dyDescent="0.25">
      <c r="A525" s="3" t="s">
        <v>173</v>
      </c>
      <c r="B525" s="3" t="s">
        <v>173</v>
      </c>
      <c r="C525" s="13" t="s">
        <v>183</v>
      </c>
      <c r="D525" s="13">
        <v>1</v>
      </c>
      <c r="E525" s="13">
        <v>42</v>
      </c>
      <c r="F525" s="13">
        <v>921</v>
      </c>
      <c r="G525" s="24"/>
      <c r="H525" s="24"/>
      <c r="I525" s="15">
        <f t="shared" si="104"/>
        <v>1372800</v>
      </c>
      <c r="J525" s="15">
        <f>J526+J530</f>
        <v>0</v>
      </c>
      <c r="K525" s="15"/>
      <c r="L525" s="15"/>
      <c r="M525" s="15"/>
      <c r="N525" s="15"/>
      <c r="O525" s="15"/>
      <c r="P525" s="15"/>
      <c r="Q525" s="15"/>
      <c r="R525" s="15"/>
      <c r="S525" s="15"/>
      <c r="T525" s="15">
        <f>T526+T530</f>
        <v>1372800</v>
      </c>
      <c r="U525" s="15"/>
      <c r="V525" s="15"/>
      <c r="W525" s="15"/>
      <c r="X525" s="15"/>
      <c r="Y525" s="15">
        <f>Y526+Y530</f>
        <v>1372800</v>
      </c>
      <c r="Z525" s="15"/>
      <c r="AA525" s="15"/>
      <c r="AB525" s="15"/>
      <c r="AC525" s="15"/>
      <c r="AD525" s="15">
        <f>AD526+AD530</f>
        <v>1372800</v>
      </c>
    </row>
    <row r="526" spans="1:38" ht="52.5" x14ac:dyDescent="0.25">
      <c r="A526" s="4" t="s">
        <v>196</v>
      </c>
      <c r="B526" s="4" t="s">
        <v>196</v>
      </c>
      <c r="C526" s="13" t="s">
        <v>183</v>
      </c>
      <c r="D526" s="13">
        <v>1</v>
      </c>
      <c r="E526" s="13">
        <v>42</v>
      </c>
      <c r="F526" s="13">
        <v>921</v>
      </c>
      <c r="G526" s="13">
        <v>14770</v>
      </c>
      <c r="H526" s="14"/>
      <c r="I526" s="15">
        <f t="shared" si="104"/>
        <v>1372800</v>
      </c>
      <c r="J526" s="15">
        <f t="shared" si="104"/>
        <v>-1372800</v>
      </c>
      <c r="K526" s="15"/>
      <c r="L526" s="15"/>
      <c r="M526" s="15"/>
      <c r="N526" s="15"/>
      <c r="O526" s="15"/>
      <c r="P526" s="15"/>
      <c r="Q526" s="15"/>
      <c r="R526" s="15"/>
      <c r="S526" s="15"/>
      <c r="T526" s="15">
        <f t="shared" si="104"/>
        <v>0</v>
      </c>
      <c r="U526" s="15"/>
      <c r="V526" s="15"/>
      <c r="W526" s="15"/>
      <c r="X526" s="15"/>
      <c r="Y526" s="15">
        <f t="shared" si="104"/>
        <v>0</v>
      </c>
      <c r="Z526" s="15"/>
      <c r="AA526" s="15"/>
      <c r="AB526" s="15"/>
      <c r="AC526" s="15"/>
      <c r="AD526" s="15">
        <f t="shared" si="104"/>
        <v>0</v>
      </c>
    </row>
    <row r="527" spans="1:38" ht="33.75" x14ac:dyDescent="0.25">
      <c r="A527" s="5" t="s">
        <v>34</v>
      </c>
      <c r="B527" s="5" t="s">
        <v>34</v>
      </c>
      <c r="C527" s="11" t="s">
        <v>183</v>
      </c>
      <c r="D527" s="11">
        <v>1</v>
      </c>
      <c r="E527" s="11">
        <v>42</v>
      </c>
      <c r="F527" s="11">
        <v>921</v>
      </c>
      <c r="G527" s="11">
        <v>14770</v>
      </c>
      <c r="H527" s="21" t="s">
        <v>35</v>
      </c>
      <c r="I527" s="20">
        <f t="shared" si="104"/>
        <v>1372800</v>
      </c>
      <c r="J527" s="20">
        <f t="shared" si="104"/>
        <v>-1372800</v>
      </c>
      <c r="K527" s="20"/>
      <c r="L527" s="20"/>
      <c r="M527" s="20"/>
      <c r="N527" s="20"/>
      <c r="O527" s="20"/>
      <c r="P527" s="20"/>
      <c r="Q527" s="20"/>
      <c r="R527" s="20"/>
      <c r="S527" s="20"/>
      <c r="T527" s="20">
        <f t="shared" si="104"/>
        <v>0</v>
      </c>
      <c r="U527" s="20"/>
      <c r="V527" s="20"/>
      <c r="W527" s="20"/>
      <c r="X527" s="20"/>
      <c r="Y527" s="20">
        <f t="shared" si="104"/>
        <v>0</v>
      </c>
      <c r="Z527" s="20"/>
      <c r="AA527" s="20"/>
      <c r="AB527" s="20"/>
      <c r="AC527" s="20"/>
      <c r="AD527" s="20">
        <f t="shared" si="104"/>
        <v>0</v>
      </c>
    </row>
    <row r="528" spans="1:38" x14ac:dyDescent="0.25">
      <c r="A528" s="5" t="s">
        <v>36</v>
      </c>
      <c r="B528" s="5" t="s">
        <v>36</v>
      </c>
      <c r="C528" s="11" t="s">
        <v>183</v>
      </c>
      <c r="D528" s="11">
        <v>1</v>
      </c>
      <c r="E528" s="11">
        <v>42</v>
      </c>
      <c r="F528" s="11">
        <v>921</v>
      </c>
      <c r="G528" s="11">
        <v>14770</v>
      </c>
      <c r="H528" s="21">
        <v>610</v>
      </c>
      <c r="I528" s="20">
        <f t="shared" si="104"/>
        <v>1372800</v>
      </c>
      <c r="J528" s="20">
        <f t="shared" si="104"/>
        <v>-1372800</v>
      </c>
      <c r="K528" s="20"/>
      <c r="L528" s="20"/>
      <c r="M528" s="20"/>
      <c r="N528" s="20"/>
      <c r="O528" s="20"/>
      <c r="P528" s="20"/>
      <c r="Q528" s="20"/>
      <c r="R528" s="20"/>
      <c r="S528" s="20"/>
      <c r="T528" s="20">
        <f t="shared" si="104"/>
        <v>0</v>
      </c>
      <c r="U528" s="20"/>
      <c r="V528" s="20"/>
      <c r="W528" s="20"/>
      <c r="X528" s="20"/>
      <c r="Y528" s="20">
        <f t="shared" si="104"/>
        <v>0</v>
      </c>
      <c r="Z528" s="20"/>
      <c r="AA528" s="20"/>
      <c r="AB528" s="20"/>
      <c r="AC528" s="20"/>
      <c r="AD528" s="20">
        <f t="shared" si="104"/>
        <v>0</v>
      </c>
    </row>
    <row r="529" spans="1:38" s="44" customFormat="1" ht="56.25" x14ac:dyDescent="0.25">
      <c r="A529" s="5" t="s">
        <v>37</v>
      </c>
      <c r="B529" s="5" t="s">
        <v>37</v>
      </c>
      <c r="C529" s="11" t="s">
        <v>183</v>
      </c>
      <c r="D529" s="11">
        <v>1</v>
      </c>
      <c r="E529" s="11">
        <v>42</v>
      </c>
      <c r="F529" s="11">
        <v>921</v>
      </c>
      <c r="G529" s="11">
        <v>14770</v>
      </c>
      <c r="H529" s="21" t="s">
        <v>38</v>
      </c>
      <c r="I529" s="20">
        <v>1372800</v>
      </c>
      <c r="J529" s="20">
        <v>-1372800</v>
      </c>
      <c r="K529" s="20"/>
      <c r="L529" s="20"/>
      <c r="M529" s="20"/>
      <c r="N529" s="20"/>
      <c r="O529" s="20"/>
      <c r="P529" s="20"/>
      <c r="Q529" s="20"/>
      <c r="R529" s="20"/>
      <c r="S529" s="20"/>
      <c r="T529" s="20">
        <f>1372800+J529</f>
        <v>0</v>
      </c>
      <c r="U529" s="20">
        <v>-1372800</v>
      </c>
      <c r="V529" s="20"/>
      <c r="W529" s="20"/>
      <c r="X529" s="20"/>
      <c r="Y529" s="20">
        <f>1372800+U529</f>
        <v>0</v>
      </c>
      <c r="Z529" s="20">
        <v>-1372800</v>
      </c>
      <c r="AA529" s="20"/>
      <c r="AB529" s="20"/>
      <c r="AC529" s="20"/>
      <c r="AD529" s="20">
        <f>1372800+Z529</f>
        <v>0</v>
      </c>
      <c r="AF529" s="30"/>
      <c r="AG529" s="30"/>
      <c r="AH529" s="30"/>
      <c r="AI529" s="30"/>
      <c r="AJ529" s="30"/>
      <c r="AK529" s="30"/>
      <c r="AL529" s="30"/>
    </row>
    <row r="530" spans="1:38" s="44" customFormat="1" ht="52.5" x14ac:dyDescent="0.25">
      <c r="A530" s="5"/>
      <c r="B530" s="4" t="s">
        <v>196</v>
      </c>
      <c r="C530" s="13" t="s">
        <v>183</v>
      </c>
      <c r="D530" s="13">
        <v>1</v>
      </c>
      <c r="E530" s="13">
        <v>42</v>
      </c>
      <c r="F530" s="13">
        <v>921</v>
      </c>
      <c r="G530" s="13">
        <v>14723</v>
      </c>
      <c r="H530" s="14"/>
      <c r="I530" s="20"/>
      <c r="J530" s="20">
        <f t="shared" ref="J530:T532" si="105">J531</f>
        <v>1372800</v>
      </c>
      <c r="K530" s="20"/>
      <c r="L530" s="20"/>
      <c r="M530" s="20"/>
      <c r="N530" s="20"/>
      <c r="O530" s="20"/>
      <c r="P530" s="20"/>
      <c r="Q530" s="20"/>
      <c r="R530" s="20"/>
      <c r="S530" s="20"/>
      <c r="T530" s="20">
        <f t="shared" si="105"/>
        <v>1372800</v>
      </c>
      <c r="U530" s="20"/>
      <c r="V530" s="20"/>
      <c r="W530" s="20"/>
      <c r="X530" s="20"/>
      <c r="Y530" s="20">
        <f>Y531</f>
        <v>1372800</v>
      </c>
      <c r="Z530" s="20"/>
      <c r="AA530" s="20"/>
      <c r="AB530" s="20"/>
      <c r="AC530" s="20"/>
      <c r="AD530" s="20">
        <f>AD531</f>
        <v>1372800</v>
      </c>
      <c r="AF530" s="30"/>
      <c r="AG530" s="30"/>
      <c r="AH530" s="30"/>
      <c r="AI530" s="30"/>
      <c r="AJ530" s="30"/>
      <c r="AK530" s="30"/>
      <c r="AL530" s="30"/>
    </row>
    <row r="531" spans="1:38" s="44" customFormat="1" ht="22.5" x14ac:dyDescent="0.25">
      <c r="A531" s="5"/>
      <c r="B531" s="5" t="s">
        <v>34</v>
      </c>
      <c r="C531" s="11" t="s">
        <v>183</v>
      </c>
      <c r="D531" s="11">
        <v>1</v>
      </c>
      <c r="E531" s="11">
        <v>42</v>
      </c>
      <c r="F531" s="11">
        <v>921</v>
      </c>
      <c r="G531" s="11">
        <v>14723</v>
      </c>
      <c r="H531" s="21" t="s">
        <v>35</v>
      </c>
      <c r="I531" s="20"/>
      <c r="J531" s="20">
        <f t="shared" si="105"/>
        <v>1372800</v>
      </c>
      <c r="K531" s="20"/>
      <c r="L531" s="20"/>
      <c r="M531" s="20"/>
      <c r="N531" s="20"/>
      <c r="O531" s="20"/>
      <c r="P531" s="20"/>
      <c r="Q531" s="20"/>
      <c r="R531" s="20"/>
      <c r="S531" s="20"/>
      <c r="T531" s="20">
        <f t="shared" si="105"/>
        <v>1372800</v>
      </c>
      <c r="U531" s="20"/>
      <c r="V531" s="20"/>
      <c r="W531" s="20"/>
      <c r="X531" s="20"/>
      <c r="Y531" s="20">
        <f>Y532</f>
        <v>1372800</v>
      </c>
      <c r="Z531" s="20"/>
      <c r="AA531" s="20"/>
      <c r="AB531" s="20"/>
      <c r="AC531" s="20"/>
      <c r="AD531" s="20">
        <f>AD532</f>
        <v>1372800</v>
      </c>
      <c r="AF531" s="30"/>
      <c r="AG531" s="30"/>
      <c r="AH531" s="30"/>
      <c r="AI531" s="30"/>
      <c r="AJ531" s="30"/>
      <c r="AK531" s="30"/>
      <c r="AL531" s="30"/>
    </row>
    <row r="532" spans="1:38" s="44" customFormat="1" x14ac:dyDescent="0.25">
      <c r="A532" s="5"/>
      <c r="B532" s="5" t="s">
        <v>36</v>
      </c>
      <c r="C532" s="11" t="s">
        <v>183</v>
      </c>
      <c r="D532" s="11">
        <v>1</v>
      </c>
      <c r="E532" s="11">
        <v>42</v>
      </c>
      <c r="F532" s="11">
        <v>921</v>
      </c>
      <c r="G532" s="11">
        <v>14723</v>
      </c>
      <c r="H532" s="21">
        <v>610</v>
      </c>
      <c r="I532" s="20"/>
      <c r="J532" s="20">
        <f t="shared" si="105"/>
        <v>1372800</v>
      </c>
      <c r="K532" s="20"/>
      <c r="L532" s="20"/>
      <c r="M532" s="20"/>
      <c r="N532" s="20"/>
      <c r="O532" s="20"/>
      <c r="P532" s="20"/>
      <c r="Q532" s="20"/>
      <c r="R532" s="20"/>
      <c r="S532" s="20"/>
      <c r="T532" s="20">
        <f t="shared" si="105"/>
        <v>1372800</v>
      </c>
      <c r="U532" s="20"/>
      <c r="V532" s="20"/>
      <c r="W532" s="20"/>
      <c r="X532" s="20"/>
      <c r="Y532" s="20">
        <f>Y533</f>
        <v>1372800</v>
      </c>
      <c r="Z532" s="20"/>
      <c r="AA532" s="20"/>
      <c r="AB532" s="20"/>
      <c r="AC532" s="20"/>
      <c r="AD532" s="20">
        <f>AD533</f>
        <v>1372800</v>
      </c>
      <c r="AF532" s="30"/>
      <c r="AG532" s="30"/>
      <c r="AH532" s="30"/>
      <c r="AI532" s="30"/>
      <c r="AJ532" s="30"/>
      <c r="AK532" s="30"/>
      <c r="AL532" s="30"/>
    </row>
    <row r="533" spans="1:38" s="44" customFormat="1" ht="45" x14ac:dyDescent="0.25">
      <c r="A533" s="5"/>
      <c r="B533" s="5" t="s">
        <v>37</v>
      </c>
      <c r="C533" s="11" t="s">
        <v>183</v>
      </c>
      <c r="D533" s="11">
        <v>1</v>
      </c>
      <c r="E533" s="11">
        <v>42</v>
      </c>
      <c r="F533" s="11">
        <v>921</v>
      </c>
      <c r="G533" s="11">
        <v>14723</v>
      </c>
      <c r="H533" s="21" t="s">
        <v>38</v>
      </c>
      <c r="I533" s="20"/>
      <c r="J533" s="20">
        <v>1372800</v>
      </c>
      <c r="K533" s="20"/>
      <c r="L533" s="20"/>
      <c r="M533" s="20"/>
      <c r="N533" s="20"/>
      <c r="O533" s="20"/>
      <c r="P533" s="20"/>
      <c r="Q533" s="20"/>
      <c r="R533" s="20"/>
      <c r="S533" s="20"/>
      <c r="T533" s="20">
        <f>J533</f>
        <v>1372800</v>
      </c>
      <c r="U533" s="20">
        <v>1372800</v>
      </c>
      <c r="V533" s="20"/>
      <c r="W533" s="20"/>
      <c r="X533" s="20"/>
      <c r="Y533" s="20">
        <f>U533</f>
        <v>1372800</v>
      </c>
      <c r="Z533" s="20">
        <v>1372800</v>
      </c>
      <c r="AA533" s="20"/>
      <c r="AB533" s="20"/>
      <c r="AC533" s="20"/>
      <c r="AD533" s="20">
        <f>Z533</f>
        <v>1372800</v>
      </c>
      <c r="AF533" s="30"/>
      <c r="AG533" s="30"/>
      <c r="AH533" s="30"/>
      <c r="AI533" s="30"/>
      <c r="AJ533" s="30"/>
      <c r="AK533" s="30"/>
      <c r="AL533" s="30"/>
    </row>
    <row r="534" spans="1:38" ht="37.5" customHeight="1" x14ac:dyDescent="0.25">
      <c r="A534" s="3" t="s">
        <v>197</v>
      </c>
      <c r="B534" s="3" t="s">
        <v>198</v>
      </c>
      <c r="C534" s="13" t="s">
        <v>183</v>
      </c>
      <c r="D534" s="13">
        <v>2</v>
      </c>
      <c r="E534" s="13"/>
      <c r="F534" s="13"/>
      <c r="G534" s="13"/>
      <c r="H534" s="14"/>
      <c r="I534" s="15">
        <f>I535+I550+I556</f>
        <v>60201908.530000001</v>
      </c>
      <c r="J534" s="15"/>
      <c r="K534" s="15"/>
      <c r="L534" s="15">
        <f>L535+L550+L556</f>
        <v>-41083</v>
      </c>
      <c r="M534" s="15"/>
      <c r="N534" s="15"/>
      <c r="O534" s="15">
        <f>O535+O550+O556</f>
        <v>0</v>
      </c>
      <c r="P534" s="15">
        <f>P535+P550+P556</f>
        <v>125800</v>
      </c>
      <c r="Q534" s="15"/>
      <c r="R534" s="15"/>
      <c r="S534" s="15"/>
      <c r="T534" s="15">
        <f>T535+T550+T556</f>
        <v>60318316.530000001</v>
      </c>
      <c r="U534" s="15"/>
      <c r="V534" s="15"/>
      <c r="W534" s="15"/>
      <c r="X534" s="15"/>
      <c r="Y534" s="15">
        <f>Y535+Y550+Y556</f>
        <v>63657104.969999999</v>
      </c>
      <c r="Z534" s="15"/>
      <c r="AA534" s="15"/>
      <c r="AB534" s="15"/>
      <c r="AC534" s="15"/>
      <c r="AD534" s="15">
        <f>AD535+AD550+AD556</f>
        <v>64753092.640000001</v>
      </c>
    </row>
    <row r="535" spans="1:38" ht="62.25" customHeight="1" x14ac:dyDescent="0.25">
      <c r="A535" s="3" t="s">
        <v>199</v>
      </c>
      <c r="B535" s="3" t="s">
        <v>199</v>
      </c>
      <c r="C535" s="13" t="s">
        <v>183</v>
      </c>
      <c r="D535" s="13">
        <v>2</v>
      </c>
      <c r="E535" s="13">
        <v>11</v>
      </c>
      <c r="F535" s="13"/>
      <c r="G535" s="13"/>
      <c r="H535" s="14"/>
      <c r="I535" s="15">
        <f>I536</f>
        <v>45651432.25</v>
      </c>
      <c r="J535" s="15"/>
      <c r="K535" s="15"/>
      <c r="L535" s="15">
        <f>L536</f>
        <v>0</v>
      </c>
      <c r="M535" s="15"/>
      <c r="N535" s="15"/>
      <c r="O535" s="15">
        <f>O536</f>
        <v>0</v>
      </c>
      <c r="P535" s="15">
        <f>P536</f>
        <v>125800</v>
      </c>
      <c r="Q535" s="15"/>
      <c r="R535" s="15"/>
      <c r="S535" s="15"/>
      <c r="T535" s="15">
        <f>T536</f>
        <v>45808923.25</v>
      </c>
      <c r="U535" s="15"/>
      <c r="V535" s="15"/>
      <c r="W535" s="15"/>
      <c r="X535" s="15"/>
      <c r="Y535" s="15">
        <f>Y536</f>
        <v>48917748.920000002</v>
      </c>
      <c r="Z535" s="15"/>
      <c r="AA535" s="15"/>
      <c r="AB535" s="15"/>
      <c r="AC535" s="15"/>
      <c r="AD535" s="15">
        <f>AD536</f>
        <v>49720435.109999999</v>
      </c>
    </row>
    <row r="536" spans="1:38" ht="43.5" customHeight="1" x14ac:dyDescent="0.25">
      <c r="A536" s="3" t="s">
        <v>173</v>
      </c>
      <c r="B536" s="3" t="s">
        <v>173</v>
      </c>
      <c r="C536" s="13" t="s">
        <v>183</v>
      </c>
      <c r="D536" s="13">
        <v>2</v>
      </c>
      <c r="E536" s="13">
        <v>11</v>
      </c>
      <c r="F536" s="13">
        <v>921</v>
      </c>
      <c r="G536" s="13"/>
      <c r="H536" s="14"/>
      <c r="I536" s="15">
        <f>I537+I541+I545</f>
        <v>45651432.25</v>
      </c>
      <c r="J536" s="15"/>
      <c r="K536" s="15"/>
      <c r="L536" s="15">
        <f>L537+L541+L545</f>
        <v>0</v>
      </c>
      <c r="M536" s="15"/>
      <c r="N536" s="15"/>
      <c r="O536" s="15">
        <f>O537+O541+O545</f>
        <v>0</v>
      </c>
      <c r="P536" s="15">
        <f>P537+P541+P545</f>
        <v>125800</v>
      </c>
      <c r="Q536" s="15"/>
      <c r="R536" s="15"/>
      <c r="S536" s="15"/>
      <c r="T536" s="15">
        <f>T537+T541+T545</f>
        <v>45808923.25</v>
      </c>
      <c r="U536" s="15"/>
      <c r="V536" s="15"/>
      <c r="W536" s="15"/>
      <c r="X536" s="15"/>
      <c r="Y536" s="15">
        <f>Y537+Y541+Y545</f>
        <v>48917748.920000002</v>
      </c>
      <c r="Z536" s="15"/>
      <c r="AA536" s="15"/>
      <c r="AB536" s="15"/>
      <c r="AC536" s="15"/>
      <c r="AD536" s="15">
        <f>AD537+AD541+AD545</f>
        <v>49720435.109999999</v>
      </c>
    </row>
    <row r="537" spans="1:38" ht="30" customHeight="1" x14ac:dyDescent="0.25">
      <c r="A537" s="4" t="s">
        <v>200</v>
      </c>
      <c r="B537" s="49" t="s">
        <v>201</v>
      </c>
      <c r="C537" s="13" t="s">
        <v>183</v>
      </c>
      <c r="D537" s="13">
        <v>2</v>
      </c>
      <c r="E537" s="13">
        <v>11</v>
      </c>
      <c r="F537" s="13">
        <v>921</v>
      </c>
      <c r="G537" s="13">
        <v>80340</v>
      </c>
      <c r="H537" s="18" t="s">
        <v>33</v>
      </c>
      <c r="I537" s="15">
        <f t="shared" ref="I537:AD539" si="106">I538</f>
        <v>4736466.6100000003</v>
      </c>
      <c r="J537" s="22"/>
      <c r="K537" s="22"/>
      <c r="L537" s="22"/>
      <c r="M537" s="22"/>
      <c r="N537" s="22"/>
      <c r="O537" s="15">
        <f t="shared" si="106"/>
        <v>0</v>
      </c>
      <c r="P537" s="15">
        <f t="shared" si="106"/>
        <v>-82200</v>
      </c>
      <c r="Q537" s="15"/>
      <c r="R537" s="15"/>
      <c r="S537" s="15"/>
      <c r="T537" s="15">
        <f t="shared" si="106"/>
        <v>4683225.6100000003</v>
      </c>
      <c r="U537" s="15"/>
      <c r="V537" s="15"/>
      <c r="W537" s="15"/>
      <c r="X537" s="15"/>
      <c r="Y537" s="15">
        <f t="shared" si="106"/>
        <v>4611213.17</v>
      </c>
      <c r="Z537" s="15"/>
      <c r="AA537" s="15"/>
      <c r="AB537" s="15"/>
      <c r="AC537" s="15"/>
      <c r="AD537" s="15">
        <f t="shared" si="106"/>
        <v>4634810.8</v>
      </c>
    </row>
    <row r="538" spans="1:38" ht="33.75" x14ac:dyDescent="0.25">
      <c r="A538" s="5" t="s">
        <v>34</v>
      </c>
      <c r="B538" s="5" t="s">
        <v>34</v>
      </c>
      <c r="C538" s="11" t="s">
        <v>183</v>
      </c>
      <c r="D538" s="11">
        <v>2</v>
      </c>
      <c r="E538" s="11">
        <v>11</v>
      </c>
      <c r="F538" s="11">
        <v>921</v>
      </c>
      <c r="G538" s="11">
        <v>80340</v>
      </c>
      <c r="H538" s="21" t="s">
        <v>35</v>
      </c>
      <c r="I538" s="20">
        <f t="shared" si="106"/>
        <v>4736466.6100000003</v>
      </c>
      <c r="J538" s="20"/>
      <c r="K538" s="20"/>
      <c r="L538" s="20"/>
      <c r="M538" s="20"/>
      <c r="N538" s="20"/>
      <c r="O538" s="20">
        <f t="shared" si="106"/>
        <v>0</v>
      </c>
      <c r="P538" s="20">
        <f t="shared" si="106"/>
        <v>-82200</v>
      </c>
      <c r="Q538" s="20"/>
      <c r="R538" s="20"/>
      <c r="S538" s="20"/>
      <c r="T538" s="20">
        <f t="shared" si="106"/>
        <v>4683225.6100000003</v>
      </c>
      <c r="U538" s="20"/>
      <c r="V538" s="20"/>
      <c r="W538" s="20"/>
      <c r="X538" s="20"/>
      <c r="Y538" s="20">
        <f t="shared" si="106"/>
        <v>4611213.17</v>
      </c>
      <c r="Z538" s="20"/>
      <c r="AA538" s="20"/>
      <c r="AB538" s="20"/>
      <c r="AC538" s="20"/>
      <c r="AD538" s="20">
        <f t="shared" si="106"/>
        <v>4634810.8</v>
      </c>
    </row>
    <row r="539" spans="1:38" x14ac:dyDescent="0.25">
      <c r="A539" s="5" t="s">
        <v>36</v>
      </c>
      <c r="B539" s="5" t="s">
        <v>36</v>
      </c>
      <c r="C539" s="11" t="s">
        <v>183</v>
      </c>
      <c r="D539" s="11">
        <v>2</v>
      </c>
      <c r="E539" s="11">
        <v>11</v>
      </c>
      <c r="F539" s="11">
        <v>921</v>
      </c>
      <c r="G539" s="11">
        <v>80340</v>
      </c>
      <c r="H539" s="21">
        <v>610</v>
      </c>
      <c r="I539" s="20">
        <f t="shared" si="106"/>
        <v>4736466.6100000003</v>
      </c>
      <c r="J539" s="20"/>
      <c r="K539" s="20"/>
      <c r="L539" s="20"/>
      <c r="M539" s="20"/>
      <c r="N539" s="20"/>
      <c r="O539" s="20">
        <f t="shared" si="106"/>
        <v>0</v>
      </c>
      <c r="P539" s="20">
        <f t="shared" si="106"/>
        <v>-82200</v>
      </c>
      <c r="Q539" s="20"/>
      <c r="R539" s="20"/>
      <c r="S539" s="20"/>
      <c r="T539" s="20">
        <f t="shared" si="106"/>
        <v>4683225.6100000003</v>
      </c>
      <c r="U539" s="20"/>
      <c r="V539" s="20"/>
      <c r="W539" s="20"/>
      <c r="X539" s="20"/>
      <c r="Y539" s="20">
        <f t="shared" si="106"/>
        <v>4611213.17</v>
      </c>
      <c r="Z539" s="20"/>
      <c r="AA539" s="20"/>
      <c r="AB539" s="20"/>
      <c r="AC539" s="20"/>
      <c r="AD539" s="20">
        <f t="shared" si="106"/>
        <v>4634810.8</v>
      </c>
    </row>
    <row r="540" spans="1:38" s="44" customFormat="1" ht="56.25" x14ac:dyDescent="0.25">
      <c r="A540" s="5" t="s">
        <v>37</v>
      </c>
      <c r="B540" s="5" t="s">
        <v>37</v>
      </c>
      <c r="C540" s="11" t="s">
        <v>183</v>
      </c>
      <c r="D540" s="11">
        <v>2</v>
      </c>
      <c r="E540" s="11">
        <v>11</v>
      </c>
      <c r="F540" s="11">
        <v>921</v>
      </c>
      <c r="G540" s="11">
        <v>80340</v>
      </c>
      <c r="H540" s="21" t="s">
        <v>38</v>
      </c>
      <c r="I540" s="20">
        <v>4736466.6100000003</v>
      </c>
      <c r="J540" s="20"/>
      <c r="K540" s="20"/>
      <c r="L540" s="20"/>
      <c r="M540" s="20"/>
      <c r="N540" s="20"/>
      <c r="O540" s="20">
        <v>0</v>
      </c>
      <c r="P540" s="20">
        <v>-82200</v>
      </c>
      <c r="Q540" s="20"/>
      <c r="R540" s="20"/>
      <c r="S540" s="20">
        <v>28959</v>
      </c>
      <c r="T540" s="20">
        <f>4736466.61+O540+P540+S540</f>
        <v>4683225.6100000003</v>
      </c>
      <c r="U540" s="20"/>
      <c r="V540" s="20"/>
      <c r="W540" s="20"/>
      <c r="X540" s="20"/>
      <c r="Y540" s="20">
        <v>4611213.17</v>
      </c>
      <c r="Z540" s="20"/>
      <c r="AA540" s="20"/>
      <c r="AB540" s="20"/>
      <c r="AC540" s="20"/>
      <c r="AD540" s="20">
        <v>4634810.8</v>
      </c>
      <c r="AF540" s="30"/>
      <c r="AG540" s="30"/>
      <c r="AH540" s="30"/>
      <c r="AI540" s="30"/>
      <c r="AJ540" s="30"/>
      <c r="AK540" s="30"/>
      <c r="AL540" s="30"/>
    </row>
    <row r="541" spans="1:38" ht="55.5" customHeight="1" x14ac:dyDescent="0.25">
      <c r="A541" s="4" t="s">
        <v>202</v>
      </c>
      <c r="B541" s="49" t="s">
        <v>78</v>
      </c>
      <c r="C541" s="13" t="s">
        <v>183</v>
      </c>
      <c r="D541" s="13">
        <v>2</v>
      </c>
      <c r="E541" s="13">
        <v>11</v>
      </c>
      <c r="F541" s="13">
        <v>921</v>
      </c>
      <c r="G541" s="13">
        <v>80720</v>
      </c>
      <c r="H541" s="14"/>
      <c r="I541" s="15">
        <f t="shared" ref="I541:AD543" si="107">I542</f>
        <v>40767313.640000001</v>
      </c>
      <c r="J541" s="15"/>
      <c r="K541" s="15"/>
      <c r="L541" s="15"/>
      <c r="M541" s="15"/>
      <c r="N541" s="15"/>
      <c r="O541" s="15">
        <f t="shared" si="107"/>
        <v>0</v>
      </c>
      <c r="P541" s="15">
        <f t="shared" si="107"/>
        <v>208000</v>
      </c>
      <c r="Q541" s="15"/>
      <c r="R541" s="15"/>
      <c r="S541" s="15"/>
      <c r="T541" s="15">
        <f t="shared" si="107"/>
        <v>40975313.640000001</v>
      </c>
      <c r="U541" s="15"/>
      <c r="V541" s="15"/>
      <c r="W541" s="15"/>
      <c r="X541" s="15"/>
      <c r="Y541" s="15">
        <f t="shared" si="107"/>
        <v>44158883.75</v>
      </c>
      <c r="Z541" s="15"/>
      <c r="AA541" s="15"/>
      <c r="AB541" s="15"/>
      <c r="AC541" s="15"/>
      <c r="AD541" s="15">
        <f t="shared" si="107"/>
        <v>44937972.310000002</v>
      </c>
    </row>
    <row r="542" spans="1:38" ht="33.75" x14ac:dyDescent="0.25">
      <c r="A542" s="5" t="s">
        <v>34</v>
      </c>
      <c r="B542" s="5" t="s">
        <v>34</v>
      </c>
      <c r="C542" s="11" t="s">
        <v>183</v>
      </c>
      <c r="D542" s="11">
        <v>2</v>
      </c>
      <c r="E542" s="11">
        <v>11</v>
      </c>
      <c r="F542" s="11">
        <v>921</v>
      </c>
      <c r="G542" s="11">
        <v>80720</v>
      </c>
      <c r="H542" s="21" t="s">
        <v>35</v>
      </c>
      <c r="I542" s="20">
        <f t="shared" si="107"/>
        <v>40767313.640000001</v>
      </c>
      <c r="J542" s="20"/>
      <c r="K542" s="20"/>
      <c r="L542" s="20"/>
      <c r="M542" s="20"/>
      <c r="N542" s="20"/>
      <c r="O542" s="20">
        <f t="shared" si="107"/>
        <v>0</v>
      </c>
      <c r="P542" s="20">
        <f t="shared" si="107"/>
        <v>208000</v>
      </c>
      <c r="Q542" s="20"/>
      <c r="R542" s="20"/>
      <c r="S542" s="20"/>
      <c r="T542" s="20">
        <f t="shared" si="107"/>
        <v>40975313.640000001</v>
      </c>
      <c r="U542" s="20"/>
      <c r="V542" s="20"/>
      <c r="W542" s="20"/>
      <c r="X542" s="20"/>
      <c r="Y542" s="20">
        <f t="shared" si="107"/>
        <v>44158883.75</v>
      </c>
      <c r="Z542" s="20"/>
      <c r="AA542" s="20"/>
      <c r="AB542" s="20"/>
      <c r="AC542" s="20"/>
      <c r="AD542" s="20">
        <f t="shared" si="107"/>
        <v>44937972.310000002</v>
      </c>
    </row>
    <row r="543" spans="1:38" x14ac:dyDescent="0.25">
      <c r="A543" s="5" t="s">
        <v>36</v>
      </c>
      <c r="B543" s="5" t="s">
        <v>36</v>
      </c>
      <c r="C543" s="11" t="s">
        <v>183</v>
      </c>
      <c r="D543" s="11">
        <v>2</v>
      </c>
      <c r="E543" s="11">
        <v>11</v>
      </c>
      <c r="F543" s="11">
        <v>921</v>
      </c>
      <c r="G543" s="11">
        <v>80720</v>
      </c>
      <c r="H543" s="21">
        <v>610</v>
      </c>
      <c r="I543" s="20">
        <f t="shared" si="107"/>
        <v>40767313.640000001</v>
      </c>
      <c r="J543" s="20"/>
      <c r="K543" s="20"/>
      <c r="L543" s="20"/>
      <c r="M543" s="20"/>
      <c r="N543" s="20"/>
      <c r="O543" s="20">
        <f t="shared" si="107"/>
        <v>0</v>
      </c>
      <c r="P543" s="20">
        <f t="shared" si="107"/>
        <v>208000</v>
      </c>
      <c r="Q543" s="20"/>
      <c r="R543" s="20"/>
      <c r="S543" s="20"/>
      <c r="T543" s="20">
        <f t="shared" si="107"/>
        <v>40975313.640000001</v>
      </c>
      <c r="U543" s="20"/>
      <c r="V543" s="20"/>
      <c r="W543" s="20"/>
      <c r="X543" s="20"/>
      <c r="Y543" s="20">
        <f t="shared" si="107"/>
        <v>44158883.75</v>
      </c>
      <c r="Z543" s="20"/>
      <c r="AA543" s="20"/>
      <c r="AB543" s="20"/>
      <c r="AC543" s="20"/>
      <c r="AD543" s="20">
        <f t="shared" si="107"/>
        <v>44937972.310000002</v>
      </c>
    </row>
    <row r="544" spans="1:38" s="44" customFormat="1" ht="56.25" x14ac:dyDescent="0.25">
      <c r="A544" s="5" t="s">
        <v>37</v>
      </c>
      <c r="B544" s="5" t="s">
        <v>37</v>
      </c>
      <c r="C544" s="11" t="s">
        <v>183</v>
      </c>
      <c r="D544" s="11">
        <v>2</v>
      </c>
      <c r="E544" s="11">
        <v>11</v>
      </c>
      <c r="F544" s="11">
        <v>921</v>
      </c>
      <c r="G544" s="11">
        <v>80720</v>
      </c>
      <c r="H544" s="21" t="s">
        <v>38</v>
      </c>
      <c r="I544" s="20">
        <v>40767313.640000001</v>
      </c>
      <c r="J544" s="20"/>
      <c r="K544" s="20"/>
      <c r="L544" s="20"/>
      <c r="M544" s="20"/>
      <c r="N544" s="20"/>
      <c r="O544" s="20">
        <v>0</v>
      </c>
      <c r="P544" s="20">
        <v>208000</v>
      </c>
      <c r="Q544" s="20"/>
      <c r="R544" s="20"/>
      <c r="S544" s="20"/>
      <c r="T544" s="20">
        <f>40767313.64+O544+P544</f>
        <v>40975313.640000001</v>
      </c>
      <c r="U544" s="20"/>
      <c r="V544" s="20"/>
      <c r="W544" s="20"/>
      <c r="X544" s="20"/>
      <c r="Y544" s="20">
        <v>44158883.75</v>
      </c>
      <c r="Z544" s="20"/>
      <c r="AA544" s="20"/>
      <c r="AB544" s="20"/>
      <c r="AC544" s="20"/>
      <c r="AD544" s="20">
        <v>44937972.310000002</v>
      </c>
      <c r="AF544" s="30"/>
      <c r="AG544" s="30"/>
      <c r="AH544" s="30"/>
      <c r="AI544" s="30"/>
      <c r="AJ544" s="30"/>
      <c r="AK544" s="30"/>
      <c r="AL544" s="30"/>
    </row>
    <row r="545" spans="1:38" s="44" customFormat="1" ht="21" x14ac:dyDescent="0.25">
      <c r="A545" s="3"/>
      <c r="B545" s="3" t="s">
        <v>127</v>
      </c>
      <c r="C545" s="13" t="s">
        <v>183</v>
      </c>
      <c r="D545" s="13">
        <v>2</v>
      </c>
      <c r="E545" s="13">
        <v>11</v>
      </c>
      <c r="F545" s="13">
        <v>921</v>
      </c>
      <c r="G545" s="13">
        <v>83360</v>
      </c>
      <c r="H545" s="14"/>
      <c r="I545" s="15">
        <f t="shared" ref="I545:AD547" si="108">I546</f>
        <v>147652</v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>
        <f t="shared" si="108"/>
        <v>150384</v>
      </c>
      <c r="U545" s="15"/>
      <c r="V545" s="15"/>
      <c r="W545" s="15"/>
      <c r="X545" s="15"/>
      <c r="Y545" s="15">
        <f t="shared" si="108"/>
        <v>147652</v>
      </c>
      <c r="Z545" s="15"/>
      <c r="AA545" s="15"/>
      <c r="AB545" s="15"/>
      <c r="AC545" s="15"/>
      <c r="AD545" s="15">
        <f t="shared" si="108"/>
        <v>147652</v>
      </c>
      <c r="AF545" s="30"/>
      <c r="AG545" s="30"/>
      <c r="AH545" s="30"/>
      <c r="AI545" s="30"/>
      <c r="AJ545" s="30"/>
      <c r="AK545" s="30"/>
      <c r="AL545" s="30"/>
    </row>
    <row r="546" spans="1:38" s="44" customFormat="1" ht="22.5" x14ac:dyDescent="0.25">
      <c r="A546" s="5"/>
      <c r="B546" s="5" t="s">
        <v>34</v>
      </c>
      <c r="C546" s="11" t="s">
        <v>183</v>
      </c>
      <c r="D546" s="11">
        <v>2</v>
      </c>
      <c r="E546" s="11">
        <v>11</v>
      </c>
      <c r="F546" s="11">
        <v>921</v>
      </c>
      <c r="G546" s="11">
        <v>83360</v>
      </c>
      <c r="H546" s="21" t="s">
        <v>35</v>
      </c>
      <c r="I546" s="20">
        <f t="shared" si="108"/>
        <v>147652</v>
      </c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>
        <f t="shared" si="108"/>
        <v>150384</v>
      </c>
      <c r="U546" s="20"/>
      <c r="V546" s="20"/>
      <c r="W546" s="20"/>
      <c r="X546" s="20"/>
      <c r="Y546" s="20">
        <f t="shared" si="108"/>
        <v>147652</v>
      </c>
      <c r="Z546" s="20"/>
      <c r="AA546" s="20"/>
      <c r="AB546" s="20"/>
      <c r="AC546" s="20"/>
      <c r="AD546" s="20">
        <f t="shared" si="108"/>
        <v>147652</v>
      </c>
      <c r="AF546" s="30"/>
      <c r="AG546" s="30"/>
      <c r="AH546" s="30"/>
      <c r="AI546" s="30"/>
      <c r="AJ546" s="30"/>
      <c r="AK546" s="30"/>
      <c r="AL546" s="30"/>
    </row>
    <row r="547" spans="1:38" s="44" customFormat="1" x14ac:dyDescent="0.25">
      <c r="A547" s="5"/>
      <c r="B547" s="5" t="s">
        <v>36</v>
      </c>
      <c r="C547" s="11" t="s">
        <v>183</v>
      </c>
      <c r="D547" s="11">
        <v>2</v>
      </c>
      <c r="E547" s="11">
        <v>11</v>
      </c>
      <c r="F547" s="11">
        <v>921</v>
      </c>
      <c r="G547" s="11">
        <v>83360</v>
      </c>
      <c r="H547" s="21">
        <v>610</v>
      </c>
      <c r="I547" s="20">
        <f t="shared" si="108"/>
        <v>147652</v>
      </c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>
        <f t="shared" si="108"/>
        <v>150384</v>
      </c>
      <c r="U547" s="20"/>
      <c r="V547" s="20"/>
      <c r="W547" s="20"/>
      <c r="X547" s="20"/>
      <c r="Y547" s="20">
        <f t="shared" si="108"/>
        <v>147652</v>
      </c>
      <c r="Z547" s="20"/>
      <c r="AA547" s="20"/>
      <c r="AB547" s="20"/>
      <c r="AC547" s="20"/>
      <c r="AD547" s="20">
        <f t="shared" si="108"/>
        <v>147652</v>
      </c>
      <c r="AF547" s="30"/>
      <c r="AG547" s="30"/>
      <c r="AH547" s="30"/>
      <c r="AI547" s="30"/>
      <c r="AJ547" s="30"/>
      <c r="AK547" s="30"/>
      <c r="AL547" s="30"/>
    </row>
    <row r="548" spans="1:38" s="44" customFormat="1" ht="45" x14ac:dyDescent="0.25">
      <c r="A548" s="5"/>
      <c r="B548" s="5" t="s">
        <v>37</v>
      </c>
      <c r="C548" s="11" t="s">
        <v>183</v>
      </c>
      <c r="D548" s="11">
        <v>2</v>
      </c>
      <c r="E548" s="11">
        <v>11</v>
      </c>
      <c r="F548" s="11">
        <v>921</v>
      </c>
      <c r="G548" s="11">
        <v>83360</v>
      </c>
      <c r="H548" s="21" t="s">
        <v>38</v>
      </c>
      <c r="I548" s="20">
        <v>147652</v>
      </c>
      <c r="J548" s="20"/>
      <c r="K548" s="20"/>
      <c r="L548" s="20"/>
      <c r="M548" s="20"/>
      <c r="N548" s="20"/>
      <c r="O548" s="20"/>
      <c r="P548" s="20"/>
      <c r="Q548" s="20"/>
      <c r="R548" s="20"/>
      <c r="S548" s="20">
        <v>2732</v>
      </c>
      <c r="T548" s="20">
        <f>147652+S548</f>
        <v>150384</v>
      </c>
      <c r="U548" s="20"/>
      <c r="V548" s="20"/>
      <c r="W548" s="20"/>
      <c r="X548" s="20"/>
      <c r="Y548" s="20">
        <v>147652</v>
      </c>
      <c r="Z548" s="20"/>
      <c r="AA548" s="20"/>
      <c r="AB548" s="20"/>
      <c r="AC548" s="20"/>
      <c r="AD548" s="20">
        <v>147652</v>
      </c>
      <c r="AF548" s="30"/>
      <c r="AG548" s="30"/>
      <c r="AH548" s="30"/>
      <c r="AI548" s="30"/>
      <c r="AJ548" s="30"/>
      <c r="AK548" s="30"/>
      <c r="AL548" s="30"/>
    </row>
    <row r="549" spans="1:38" ht="21" x14ac:dyDescent="0.25">
      <c r="A549" s="3" t="s">
        <v>203</v>
      </c>
      <c r="B549" s="3" t="s">
        <v>203</v>
      </c>
      <c r="C549" s="13" t="s">
        <v>183</v>
      </c>
      <c r="D549" s="13">
        <v>2</v>
      </c>
      <c r="E549" s="13">
        <v>12</v>
      </c>
      <c r="F549" s="13"/>
      <c r="G549" s="13"/>
      <c r="H549" s="21"/>
      <c r="I549" s="15">
        <f t="shared" ref="I549:AD553" si="109">I550</f>
        <v>9087369</v>
      </c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15">
        <f t="shared" si="109"/>
        <v>9087369</v>
      </c>
      <c r="U549" s="15"/>
      <c r="V549" s="15"/>
      <c r="W549" s="15"/>
      <c r="X549" s="15"/>
      <c r="Y549" s="15">
        <f t="shared" si="109"/>
        <v>9087369</v>
      </c>
      <c r="Z549" s="15"/>
      <c r="AA549" s="15"/>
      <c r="AB549" s="15"/>
      <c r="AC549" s="15"/>
      <c r="AD549" s="15">
        <f t="shared" si="109"/>
        <v>9087369</v>
      </c>
    </row>
    <row r="550" spans="1:38" ht="21" x14ac:dyDescent="0.25">
      <c r="A550" s="3" t="s">
        <v>173</v>
      </c>
      <c r="B550" s="3" t="s">
        <v>173</v>
      </c>
      <c r="C550" s="13" t="s">
        <v>183</v>
      </c>
      <c r="D550" s="13">
        <v>2</v>
      </c>
      <c r="E550" s="13">
        <v>12</v>
      </c>
      <c r="F550" s="13">
        <v>921</v>
      </c>
      <c r="G550" s="13"/>
      <c r="H550" s="21"/>
      <c r="I550" s="15">
        <f t="shared" si="109"/>
        <v>9087369</v>
      </c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15">
        <f t="shared" si="109"/>
        <v>9087369</v>
      </c>
      <c r="U550" s="15"/>
      <c r="V550" s="15"/>
      <c r="W550" s="15"/>
      <c r="X550" s="15"/>
      <c r="Y550" s="15">
        <f t="shared" si="109"/>
        <v>9087369</v>
      </c>
      <c r="Z550" s="15"/>
      <c r="AA550" s="15"/>
      <c r="AB550" s="15"/>
      <c r="AC550" s="15"/>
      <c r="AD550" s="15">
        <f t="shared" si="109"/>
        <v>9087369</v>
      </c>
    </row>
    <row r="551" spans="1:38" ht="75.75" customHeight="1" x14ac:dyDescent="0.25">
      <c r="A551" s="4" t="s">
        <v>204</v>
      </c>
      <c r="B551" s="4" t="s">
        <v>204</v>
      </c>
      <c r="C551" s="13" t="s">
        <v>183</v>
      </c>
      <c r="D551" s="13">
        <v>2</v>
      </c>
      <c r="E551" s="13">
        <v>12</v>
      </c>
      <c r="F551" s="13">
        <v>921</v>
      </c>
      <c r="G551" s="13">
        <v>14780</v>
      </c>
      <c r="H551" s="14"/>
      <c r="I551" s="15">
        <f t="shared" si="109"/>
        <v>9087369</v>
      </c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>
        <f t="shared" si="109"/>
        <v>9087369</v>
      </c>
      <c r="U551" s="15"/>
      <c r="V551" s="15"/>
      <c r="W551" s="15"/>
      <c r="X551" s="15"/>
      <c r="Y551" s="15">
        <f t="shared" si="109"/>
        <v>9087369</v>
      </c>
      <c r="Z551" s="15"/>
      <c r="AA551" s="15"/>
      <c r="AB551" s="15"/>
      <c r="AC551" s="15"/>
      <c r="AD551" s="15">
        <f t="shared" si="109"/>
        <v>9087369</v>
      </c>
    </row>
    <row r="552" spans="1:38" ht="22.5" x14ac:dyDescent="0.25">
      <c r="A552" s="5" t="s">
        <v>40</v>
      </c>
      <c r="B552" s="5" t="s">
        <v>40</v>
      </c>
      <c r="C552" s="11" t="s">
        <v>183</v>
      </c>
      <c r="D552" s="11">
        <v>2</v>
      </c>
      <c r="E552" s="11">
        <v>12</v>
      </c>
      <c r="F552" s="11">
        <v>921</v>
      </c>
      <c r="G552" s="11">
        <v>14780</v>
      </c>
      <c r="H552" s="21">
        <v>300</v>
      </c>
      <c r="I552" s="20">
        <f t="shared" si="109"/>
        <v>9087369</v>
      </c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>
        <f t="shared" si="109"/>
        <v>9087369</v>
      </c>
      <c r="U552" s="20"/>
      <c r="V552" s="20"/>
      <c r="W552" s="20"/>
      <c r="X552" s="20"/>
      <c r="Y552" s="20">
        <f t="shared" si="109"/>
        <v>9087369</v>
      </c>
      <c r="Z552" s="20"/>
      <c r="AA552" s="20"/>
      <c r="AB552" s="20"/>
      <c r="AC552" s="20"/>
      <c r="AD552" s="20">
        <f t="shared" si="109"/>
        <v>9087369</v>
      </c>
    </row>
    <row r="553" spans="1:38" ht="22.5" x14ac:dyDescent="0.25">
      <c r="A553" s="5" t="s">
        <v>48</v>
      </c>
      <c r="B553" s="5" t="s">
        <v>48</v>
      </c>
      <c r="C553" s="11" t="s">
        <v>183</v>
      </c>
      <c r="D553" s="11">
        <v>2</v>
      </c>
      <c r="E553" s="11">
        <v>12</v>
      </c>
      <c r="F553" s="11">
        <v>921</v>
      </c>
      <c r="G553" s="11">
        <v>14780</v>
      </c>
      <c r="H553" s="21">
        <v>310</v>
      </c>
      <c r="I553" s="20">
        <f t="shared" si="109"/>
        <v>9087369</v>
      </c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>
        <f t="shared" si="109"/>
        <v>9087369</v>
      </c>
      <c r="U553" s="20"/>
      <c r="V553" s="20"/>
      <c r="W553" s="20"/>
      <c r="X553" s="20"/>
      <c r="Y553" s="20">
        <f t="shared" si="109"/>
        <v>9087369</v>
      </c>
      <c r="Z553" s="20"/>
      <c r="AA553" s="20"/>
      <c r="AB553" s="20"/>
      <c r="AC553" s="20"/>
      <c r="AD553" s="20">
        <f t="shared" si="109"/>
        <v>9087369</v>
      </c>
    </row>
    <row r="554" spans="1:38" s="44" customFormat="1" ht="42.75" customHeight="1" x14ac:dyDescent="0.25">
      <c r="A554" s="5" t="s">
        <v>49</v>
      </c>
      <c r="B554" s="5" t="s">
        <v>49</v>
      </c>
      <c r="C554" s="11" t="s">
        <v>183</v>
      </c>
      <c r="D554" s="11">
        <v>2</v>
      </c>
      <c r="E554" s="11">
        <v>12</v>
      </c>
      <c r="F554" s="11">
        <v>921</v>
      </c>
      <c r="G554" s="11">
        <v>14780</v>
      </c>
      <c r="H554" s="21">
        <v>313</v>
      </c>
      <c r="I554" s="20">
        <v>9087369</v>
      </c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>
        <v>9087369</v>
      </c>
      <c r="U554" s="20"/>
      <c r="V554" s="20"/>
      <c r="W554" s="20"/>
      <c r="X554" s="20"/>
      <c r="Y554" s="20">
        <v>9087369</v>
      </c>
      <c r="Z554" s="20"/>
      <c r="AA554" s="20"/>
      <c r="AB554" s="20"/>
      <c r="AC554" s="20"/>
      <c r="AD554" s="20">
        <v>9087369</v>
      </c>
      <c r="AF554" s="30"/>
      <c r="AG554" s="30"/>
      <c r="AH554" s="30"/>
      <c r="AI554" s="30"/>
      <c r="AJ554" s="30"/>
      <c r="AK554" s="30"/>
      <c r="AL554" s="30"/>
    </row>
    <row r="555" spans="1:38" ht="52.5" x14ac:dyDescent="0.25">
      <c r="A555" s="3" t="s">
        <v>205</v>
      </c>
      <c r="B555" s="3" t="s">
        <v>205</v>
      </c>
      <c r="C555" s="13" t="s">
        <v>183</v>
      </c>
      <c r="D555" s="13">
        <v>2</v>
      </c>
      <c r="E555" s="13">
        <v>13</v>
      </c>
      <c r="F555" s="13"/>
      <c r="G555" s="13"/>
      <c r="H555" s="21"/>
      <c r="I555" s="15">
        <f>I556</f>
        <v>5463107.2799999993</v>
      </c>
      <c r="J555" s="20"/>
      <c r="K555" s="20"/>
      <c r="L555" s="15">
        <f>L556</f>
        <v>-41083</v>
      </c>
      <c r="M555" s="15"/>
      <c r="N555" s="15"/>
      <c r="O555" s="15"/>
      <c r="P555" s="15"/>
      <c r="Q555" s="15"/>
      <c r="R555" s="15"/>
      <c r="S555" s="15"/>
      <c r="T555" s="15">
        <f>T556</f>
        <v>5422024.2799999993</v>
      </c>
      <c r="U555" s="15"/>
      <c r="V555" s="15"/>
      <c r="W555" s="15"/>
      <c r="X555" s="15"/>
      <c r="Y555" s="15">
        <f>Y556</f>
        <v>5651987.0499999998</v>
      </c>
      <c r="Z555" s="15"/>
      <c r="AA555" s="15"/>
      <c r="AB555" s="15"/>
      <c r="AC555" s="15"/>
      <c r="AD555" s="15">
        <f>AD556</f>
        <v>5945288.5300000003</v>
      </c>
    </row>
    <row r="556" spans="1:38" ht="33.75" customHeight="1" x14ac:dyDescent="0.25">
      <c r="A556" s="3" t="s">
        <v>173</v>
      </c>
      <c r="B556" s="3" t="s">
        <v>173</v>
      </c>
      <c r="C556" s="13" t="s">
        <v>183</v>
      </c>
      <c r="D556" s="13">
        <v>2</v>
      </c>
      <c r="E556" s="13">
        <v>13</v>
      </c>
      <c r="F556" s="13">
        <v>921</v>
      </c>
      <c r="G556" s="13"/>
      <c r="H556" s="21"/>
      <c r="I556" s="15">
        <f>I557+I570+I574</f>
        <v>5463107.2799999993</v>
      </c>
      <c r="J556" s="20"/>
      <c r="K556" s="20"/>
      <c r="L556" s="15">
        <f>L557+L570+L574</f>
        <v>-41083</v>
      </c>
      <c r="M556" s="15"/>
      <c r="N556" s="15"/>
      <c r="O556" s="15"/>
      <c r="P556" s="15"/>
      <c r="Q556" s="15"/>
      <c r="R556" s="15"/>
      <c r="S556" s="15"/>
      <c r="T556" s="15">
        <f>T557+T570+T574</f>
        <v>5422024.2799999993</v>
      </c>
      <c r="U556" s="15"/>
      <c r="V556" s="15"/>
      <c r="W556" s="15"/>
      <c r="X556" s="15"/>
      <c r="Y556" s="15">
        <f>Y557+Y570+Y574</f>
        <v>5651987.0499999998</v>
      </c>
      <c r="Z556" s="15"/>
      <c r="AA556" s="15"/>
      <c r="AB556" s="15"/>
      <c r="AC556" s="15"/>
      <c r="AD556" s="15">
        <f>AD557+AD570+AD574</f>
        <v>5945288.5300000003</v>
      </c>
    </row>
    <row r="557" spans="1:38" ht="31.5" x14ac:dyDescent="0.15">
      <c r="A557" s="53" t="s">
        <v>56</v>
      </c>
      <c r="B557" s="49" t="s">
        <v>56</v>
      </c>
      <c r="C557" s="13" t="s">
        <v>183</v>
      </c>
      <c r="D557" s="13">
        <v>2</v>
      </c>
      <c r="E557" s="13">
        <v>13</v>
      </c>
      <c r="F557" s="13">
        <v>921</v>
      </c>
      <c r="G557" s="13">
        <v>80040</v>
      </c>
      <c r="H557" s="18" t="s">
        <v>33</v>
      </c>
      <c r="I557" s="15">
        <f>I558+I563+I566+I570</f>
        <v>5459907.2799999993</v>
      </c>
      <c r="J557" s="22"/>
      <c r="K557" s="22"/>
      <c r="L557" s="15">
        <f>L558+L563+L566+L570</f>
        <v>-41083</v>
      </c>
      <c r="M557" s="15"/>
      <c r="N557" s="15"/>
      <c r="O557" s="15"/>
      <c r="P557" s="15"/>
      <c r="Q557" s="15"/>
      <c r="R557" s="15"/>
      <c r="S557" s="15"/>
      <c r="T557" s="15">
        <f>T558+T563+T566+T570</f>
        <v>5418824.2799999993</v>
      </c>
      <c r="U557" s="15"/>
      <c r="V557" s="15"/>
      <c r="W557" s="15"/>
      <c r="X557" s="15"/>
      <c r="Y557" s="15">
        <f t="shared" ref="Y557:AH557" si="110">Y558+Y563+Y566+Y570</f>
        <v>5648787.0499999998</v>
      </c>
      <c r="Z557" s="15"/>
      <c r="AA557" s="15"/>
      <c r="AB557" s="15"/>
      <c r="AC557" s="15"/>
      <c r="AD557" s="15">
        <f t="shared" si="110"/>
        <v>5942088.5300000003</v>
      </c>
      <c r="AE557" s="15">
        <f t="shared" si="110"/>
        <v>0</v>
      </c>
      <c r="AF557" s="15">
        <f t="shared" si="110"/>
        <v>0</v>
      </c>
      <c r="AG557" s="15">
        <f t="shared" si="110"/>
        <v>0</v>
      </c>
      <c r="AH557" s="15">
        <f t="shared" si="110"/>
        <v>0</v>
      </c>
    </row>
    <row r="558" spans="1:38" ht="56.25" x14ac:dyDescent="0.25">
      <c r="A558" s="5" t="s">
        <v>22</v>
      </c>
      <c r="B558" s="5" t="s">
        <v>22</v>
      </c>
      <c r="C558" s="11" t="s">
        <v>183</v>
      </c>
      <c r="D558" s="11">
        <v>2</v>
      </c>
      <c r="E558" s="11">
        <v>13</v>
      </c>
      <c r="F558" s="11">
        <v>921</v>
      </c>
      <c r="G558" s="11">
        <v>80040</v>
      </c>
      <c r="H558" s="21" t="s">
        <v>57</v>
      </c>
      <c r="I558" s="20">
        <f>I559</f>
        <v>5017717.3499999996</v>
      </c>
      <c r="J558" s="20"/>
      <c r="K558" s="20"/>
      <c r="L558" s="20">
        <f>L559</f>
        <v>-41083</v>
      </c>
      <c r="M558" s="20"/>
      <c r="N558" s="20"/>
      <c r="O558" s="20"/>
      <c r="P558" s="20"/>
      <c r="Q558" s="20"/>
      <c r="R558" s="20"/>
      <c r="S558" s="20"/>
      <c r="T558" s="20">
        <f>T559</f>
        <v>4976634.3499999996</v>
      </c>
      <c r="U558" s="20"/>
      <c r="V558" s="20"/>
      <c r="W558" s="20"/>
      <c r="X558" s="20"/>
      <c r="Y558" s="20">
        <f>Y559</f>
        <v>5203414.3599999994</v>
      </c>
      <c r="Z558" s="20"/>
      <c r="AA558" s="20"/>
      <c r="AB558" s="20"/>
      <c r="AC558" s="20"/>
      <c r="AD558" s="20">
        <f>AD559</f>
        <v>5497447.5</v>
      </c>
    </row>
    <row r="559" spans="1:38" ht="22.5" x14ac:dyDescent="0.25">
      <c r="A559" s="5" t="s">
        <v>23</v>
      </c>
      <c r="B559" s="5" t="s">
        <v>23</v>
      </c>
      <c r="C559" s="11" t="s">
        <v>183</v>
      </c>
      <c r="D559" s="11">
        <v>2</v>
      </c>
      <c r="E559" s="11">
        <v>13</v>
      </c>
      <c r="F559" s="11">
        <v>921</v>
      </c>
      <c r="G559" s="11">
        <v>80040</v>
      </c>
      <c r="H559" s="21" t="s">
        <v>58</v>
      </c>
      <c r="I559" s="20">
        <f>I560+I561+I562</f>
        <v>5017717.3499999996</v>
      </c>
      <c r="J559" s="20"/>
      <c r="K559" s="20"/>
      <c r="L559" s="20">
        <f>L560+L561+L562</f>
        <v>-41083</v>
      </c>
      <c r="M559" s="20"/>
      <c r="N559" s="20"/>
      <c r="O559" s="20"/>
      <c r="P559" s="20"/>
      <c r="Q559" s="20"/>
      <c r="R559" s="20"/>
      <c r="S559" s="20"/>
      <c r="T559" s="20">
        <f>T560+T561+T562</f>
        <v>4976634.3499999996</v>
      </c>
      <c r="U559" s="20"/>
      <c r="V559" s="20"/>
      <c r="W559" s="20"/>
      <c r="X559" s="20"/>
      <c r="Y559" s="20">
        <f>Y560+Y561+Y562</f>
        <v>5203414.3599999994</v>
      </c>
      <c r="Z559" s="20"/>
      <c r="AA559" s="20"/>
      <c r="AB559" s="20"/>
      <c r="AC559" s="20"/>
      <c r="AD559" s="20">
        <f>AD560+AD561+AD562</f>
        <v>5497447.5</v>
      </c>
    </row>
    <row r="560" spans="1:38" s="44" customFormat="1" ht="22.5" x14ac:dyDescent="0.25">
      <c r="A560" s="5" t="s">
        <v>206</v>
      </c>
      <c r="B560" s="5" t="s">
        <v>206</v>
      </c>
      <c r="C560" s="11" t="s">
        <v>183</v>
      </c>
      <c r="D560" s="11">
        <v>2</v>
      </c>
      <c r="E560" s="11">
        <v>13</v>
      </c>
      <c r="F560" s="11">
        <v>921</v>
      </c>
      <c r="G560" s="11">
        <v>80040</v>
      </c>
      <c r="H560" s="21">
        <v>121</v>
      </c>
      <c r="I560" s="20">
        <v>3703173.08</v>
      </c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>
        <v>3703173.08</v>
      </c>
      <c r="U560" s="20"/>
      <c r="V560" s="20"/>
      <c r="W560" s="20"/>
      <c r="X560" s="20"/>
      <c r="Y560" s="20">
        <v>3845797.51</v>
      </c>
      <c r="Z560" s="20"/>
      <c r="AA560" s="20"/>
      <c r="AB560" s="20"/>
      <c r="AC560" s="20"/>
      <c r="AD560" s="20">
        <v>3999629.42</v>
      </c>
      <c r="AF560" s="30"/>
      <c r="AG560" s="30"/>
      <c r="AH560" s="30"/>
      <c r="AI560" s="30"/>
      <c r="AJ560" s="30"/>
      <c r="AK560" s="30"/>
      <c r="AL560" s="30"/>
    </row>
    <row r="561" spans="1:38" ht="33.75" x14ac:dyDescent="0.25">
      <c r="A561" s="5" t="s">
        <v>45</v>
      </c>
      <c r="B561" s="5" t="s">
        <v>45</v>
      </c>
      <c r="C561" s="11" t="s">
        <v>183</v>
      </c>
      <c r="D561" s="11">
        <v>2</v>
      </c>
      <c r="E561" s="11">
        <v>13</v>
      </c>
      <c r="F561" s="11">
        <v>921</v>
      </c>
      <c r="G561" s="11">
        <v>80040</v>
      </c>
      <c r="H561" s="21">
        <v>122</v>
      </c>
      <c r="I561" s="20">
        <v>153000</v>
      </c>
      <c r="J561" s="20"/>
      <c r="K561" s="20"/>
      <c r="L561" s="20">
        <v>-31554</v>
      </c>
      <c r="M561" s="20"/>
      <c r="N561" s="20"/>
      <c r="O561" s="20"/>
      <c r="P561" s="20"/>
      <c r="Q561" s="20"/>
      <c r="R561" s="20"/>
      <c r="S561" s="20"/>
      <c r="T561" s="20">
        <f>153000+L561</f>
        <v>121446</v>
      </c>
      <c r="U561" s="20"/>
      <c r="V561" s="20"/>
      <c r="W561" s="20"/>
      <c r="X561" s="20"/>
      <c r="Y561" s="20">
        <v>153000</v>
      </c>
      <c r="Z561" s="20"/>
      <c r="AA561" s="20"/>
      <c r="AB561" s="20"/>
      <c r="AC561" s="20"/>
      <c r="AD561" s="20">
        <v>225000</v>
      </c>
    </row>
    <row r="562" spans="1:38" ht="45" x14ac:dyDescent="0.25">
      <c r="A562" s="5" t="s">
        <v>207</v>
      </c>
      <c r="B562" s="5" t="s">
        <v>207</v>
      </c>
      <c r="C562" s="11" t="s">
        <v>183</v>
      </c>
      <c r="D562" s="11">
        <v>2</v>
      </c>
      <c r="E562" s="11">
        <v>13</v>
      </c>
      <c r="F562" s="11">
        <v>921</v>
      </c>
      <c r="G562" s="11">
        <v>80040</v>
      </c>
      <c r="H562" s="21">
        <v>129</v>
      </c>
      <c r="I562" s="20">
        <v>1161544.27</v>
      </c>
      <c r="J562" s="20"/>
      <c r="K562" s="20"/>
      <c r="L562" s="20">
        <v>-9529</v>
      </c>
      <c r="M562" s="20"/>
      <c r="N562" s="20"/>
      <c r="O562" s="20"/>
      <c r="P562" s="20"/>
      <c r="Q562" s="20"/>
      <c r="R562" s="20"/>
      <c r="S562" s="20"/>
      <c r="T562" s="20">
        <f>1161544.27+L562</f>
        <v>1152015.27</v>
      </c>
      <c r="U562" s="20"/>
      <c r="V562" s="20"/>
      <c r="W562" s="20"/>
      <c r="X562" s="20"/>
      <c r="Y562" s="20">
        <v>1204616.8500000001</v>
      </c>
      <c r="Z562" s="20"/>
      <c r="AA562" s="20"/>
      <c r="AB562" s="20"/>
      <c r="AC562" s="20"/>
      <c r="AD562" s="20">
        <v>1272818.08</v>
      </c>
    </row>
    <row r="563" spans="1:38" ht="22.5" x14ac:dyDescent="0.25">
      <c r="A563" s="5" t="s">
        <v>26</v>
      </c>
      <c r="B563" s="5" t="s">
        <v>26</v>
      </c>
      <c r="C563" s="11" t="s">
        <v>183</v>
      </c>
      <c r="D563" s="11">
        <v>2</v>
      </c>
      <c r="E563" s="11">
        <v>13</v>
      </c>
      <c r="F563" s="11">
        <v>921</v>
      </c>
      <c r="G563" s="11">
        <v>80040</v>
      </c>
      <c r="H563" s="21" t="s">
        <v>27</v>
      </c>
      <c r="I563" s="20">
        <f t="shared" ref="I563:AD564" si="111">I564</f>
        <v>442189.93</v>
      </c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>
        <f t="shared" si="111"/>
        <v>442189.93</v>
      </c>
      <c r="U563" s="20"/>
      <c r="V563" s="20"/>
      <c r="W563" s="20"/>
      <c r="X563" s="20"/>
      <c r="Y563" s="20">
        <f t="shared" si="111"/>
        <v>445372.69</v>
      </c>
      <c r="Z563" s="20"/>
      <c r="AA563" s="20"/>
      <c r="AB563" s="20"/>
      <c r="AC563" s="20"/>
      <c r="AD563" s="20">
        <f t="shared" si="111"/>
        <v>444641.03</v>
      </c>
    </row>
    <row r="564" spans="1:38" ht="33.75" x14ac:dyDescent="0.25">
      <c r="A564" s="5" t="s">
        <v>28</v>
      </c>
      <c r="B564" s="5" t="s">
        <v>28</v>
      </c>
      <c r="C564" s="11" t="s">
        <v>183</v>
      </c>
      <c r="D564" s="11">
        <v>2</v>
      </c>
      <c r="E564" s="11">
        <v>13</v>
      </c>
      <c r="F564" s="11">
        <v>921</v>
      </c>
      <c r="G564" s="11">
        <v>80040</v>
      </c>
      <c r="H564" s="21" t="s">
        <v>29</v>
      </c>
      <c r="I564" s="20">
        <f t="shared" si="111"/>
        <v>442189.93</v>
      </c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>
        <f t="shared" si="111"/>
        <v>442189.93</v>
      </c>
      <c r="U564" s="20"/>
      <c r="V564" s="20"/>
      <c r="W564" s="20"/>
      <c r="X564" s="20"/>
      <c r="Y564" s="20">
        <f t="shared" si="111"/>
        <v>445372.69</v>
      </c>
      <c r="Z564" s="20"/>
      <c r="AA564" s="20"/>
      <c r="AB564" s="20"/>
      <c r="AC564" s="20"/>
      <c r="AD564" s="20">
        <f t="shared" si="111"/>
        <v>444641.03</v>
      </c>
    </row>
    <row r="565" spans="1:38" ht="33.75" x14ac:dyDescent="0.25">
      <c r="A565" s="5" t="s">
        <v>30</v>
      </c>
      <c r="B565" s="5" t="s">
        <v>30</v>
      </c>
      <c r="C565" s="11" t="s">
        <v>183</v>
      </c>
      <c r="D565" s="11">
        <v>2</v>
      </c>
      <c r="E565" s="11">
        <v>13</v>
      </c>
      <c r="F565" s="11">
        <v>921</v>
      </c>
      <c r="G565" s="11">
        <v>80040</v>
      </c>
      <c r="H565" s="21">
        <v>244</v>
      </c>
      <c r="I565" s="20">
        <v>442189.93</v>
      </c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>
        <v>442189.93</v>
      </c>
      <c r="U565" s="20"/>
      <c r="V565" s="20"/>
      <c r="W565" s="20"/>
      <c r="X565" s="20"/>
      <c r="Y565" s="20">
        <v>445372.69</v>
      </c>
      <c r="Z565" s="20"/>
      <c r="AA565" s="20"/>
      <c r="AB565" s="20"/>
      <c r="AC565" s="20"/>
      <c r="AD565" s="20">
        <v>444641.03</v>
      </c>
    </row>
    <row r="566" spans="1:38" hidden="1" x14ac:dyDescent="0.25">
      <c r="A566" s="5" t="s">
        <v>59</v>
      </c>
      <c r="B566" s="5" t="s">
        <v>59</v>
      </c>
      <c r="C566" s="11" t="s">
        <v>183</v>
      </c>
      <c r="D566" s="11">
        <v>2</v>
      </c>
      <c r="E566" s="11">
        <v>13</v>
      </c>
      <c r="F566" s="11">
        <v>921</v>
      </c>
      <c r="G566" s="11">
        <v>80040</v>
      </c>
      <c r="H566" s="21" t="s">
        <v>130</v>
      </c>
      <c r="I566" s="20">
        <f>I567</f>
        <v>0</v>
      </c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>
        <f>T567</f>
        <v>0</v>
      </c>
      <c r="U566" s="20"/>
      <c r="V566" s="20"/>
      <c r="W566" s="20"/>
      <c r="X566" s="20"/>
      <c r="Y566" s="20">
        <f>Y567</f>
        <v>0</v>
      </c>
      <c r="Z566" s="20"/>
      <c r="AA566" s="20"/>
      <c r="AB566" s="20"/>
      <c r="AC566" s="20"/>
      <c r="AD566" s="20">
        <f>AD567</f>
        <v>0</v>
      </c>
    </row>
    <row r="567" spans="1:38" ht="22.5" hidden="1" x14ac:dyDescent="0.25">
      <c r="A567" s="5" t="s">
        <v>62</v>
      </c>
      <c r="B567" s="5" t="s">
        <v>62</v>
      </c>
      <c r="C567" s="11" t="s">
        <v>183</v>
      </c>
      <c r="D567" s="11">
        <v>2</v>
      </c>
      <c r="E567" s="11">
        <v>13</v>
      </c>
      <c r="F567" s="11">
        <v>921</v>
      </c>
      <c r="G567" s="11">
        <v>80040</v>
      </c>
      <c r="H567" s="21">
        <v>850</v>
      </c>
      <c r="I567" s="20">
        <f>I568+I569</f>
        <v>0</v>
      </c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>
        <f>T568+T569</f>
        <v>0</v>
      </c>
      <c r="U567" s="20"/>
      <c r="V567" s="20"/>
      <c r="W567" s="20"/>
      <c r="X567" s="20"/>
      <c r="Y567" s="20">
        <f>Y568+Y569</f>
        <v>0</v>
      </c>
      <c r="Z567" s="20"/>
      <c r="AA567" s="20"/>
      <c r="AB567" s="20"/>
      <c r="AC567" s="20"/>
      <c r="AD567" s="20">
        <f>AD568</f>
        <v>0</v>
      </c>
    </row>
    <row r="568" spans="1:38" ht="22.5" hidden="1" x14ac:dyDescent="0.25">
      <c r="A568" s="5" t="s">
        <v>208</v>
      </c>
      <c r="B568" s="5" t="s">
        <v>208</v>
      </c>
      <c r="C568" s="11" t="s">
        <v>183</v>
      </c>
      <c r="D568" s="11">
        <v>2</v>
      </c>
      <c r="E568" s="11">
        <v>13</v>
      </c>
      <c r="F568" s="11">
        <v>921</v>
      </c>
      <c r="G568" s="11">
        <v>80040</v>
      </c>
      <c r="H568" s="21" t="s">
        <v>134</v>
      </c>
      <c r="I568" s="20">
        <v>0</v>
      </c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>
        <v>0</v>
      </c>
      <c r="U568" s="20"/>
      <c r="V568" s="20"/>
      <c r="W568" s="20"/>
      <c r="X568" s="20"/>
      <c r="Y568" s="20">
        <v>0</v>
      </c>
      <c r="Z568" s="20"/>
      <c r="AA568" s="20"/>
      <c r="AB568" s="20"/>
      <c r="AC568" s="20"/>
      <c r="AD568" s="20">
        <v>0</v>
      </c>
    </row>
    <row r="569" spans="1:38" hidden="1" x14ac:dyDescent="0.25">
      <c r="A569" s="5" t="s">
        <v>209</v>
      </c>
      <c r="B569" s="5" t="s">
        <v>209</v>
      </c>
      <c r="C569" s="11" t="s">
        <v>183</v>
      </c>
      <c r="D569" s="11">
        <v>2</v>
      </c>
      <c r="E569" s="11">
        <v>13</v>
      </c>
      <c r="F569" s="11">
        <v>921</v>
      </c>
      <c r="G569" s="11">
        <v>80040</v>
      </c>
      <c r="H569" s="21">
        <v>853</v>
      </c>
      <c r="I569" s="20">
        <v>0</v>
      </c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>
        <v>0</v>
      </c>
      <c r="U569" s="20"/>
      <c r="V569" s="20"/>
      <c r="W569" s="20"/>
      <c r="X569" s="20"/>
      <c r="Y569" s="20">
        <v>0</v>
      </c>
      <c r="Z569" s="20"/>
      <c r="AA569" s="20"/>
      <c r="AB569" s="20"/>
      <c r="AC569" s="20"/>
      <c r="AD569" s="20">
        <v>0</v>
      </c>
    </row>
    <row r="570" spans="1:38" s="44" customFormat="1" ht="31.5" hidden="1" x14ac:dyDescent="0.25">
      <c r="A570" s="3" t="s">
        <v>67</v>
      </c>
      <c r="B570" s="49" t="s">
        <v>67</v>
      </c>
      <c r="C570" s="13" t="s">
        <v>183</v>
      </c>
      <c r="D570" s="13">
        <v>2</v>
      </c>
      <c r="E570" s="13">
        <v>13</v>
      </c>
      <c r="F570" s="13">
        <v>921</v>
      </c>
      <c r="G570" s="13">
        <v>80070</v>
      </c>
      <c r="H570" s="14"/>
      <c r="I570" s="15">
        <f>I571</f>
        <v>0</v>
      </c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>
        <f>T571</f>
        <v>0</v>
      </c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F570" s="30"/>
      <c r="AG570" s="30"/>
      <c r="AH570" s="30"/>
      <c r="AI570" s="30"/>
      <c r="AJ570" s="30"/>
      <c r="AK570" s="30"/>
      <c r="AL570" s="30"/>
    </row>
    <row r="571" spans="1:38" ht="33.75" hidden="1" x14ac:dyDescent="0.25">
      <c r="A571" s="5" t="s">
        <v>26</v>
      </c>
      <c r="B571" s="5" t="s">
        <v>26</v>
      </c>
      <c r="C571" s="11" t="s">
        <v>183</v>
      </c>
      <c r="D571" s="11">
        <v>2</v>
      </c>
      <c r="E571" s="11">
        <v>13</v>
      </c>
      <c r="F571" s="11">
        <v>921</v>
      </c>
      <c r="G571" s="11">
        <v>80070</v>
      </c>
      <c r="H571" s="21">
        <v>200</v>
      </c>
      <c r="I571" s="20">
        <f>I572</f>
        <v>0</v>
      </c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>
        <f>T572</f>
        <v>0</v>
      </c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</row>
    <row r="572" spans="1:38" ht="33.75" hidden="1" x14ac:dyDescent="0.25">
      <c r="A572" s="5" t="s">
        <v>28</v>
      </c>
      <c r="B572" s="5" t="s">
        <v>28</v>
      </c>
      <c r="C572" s="11" t="s">
        <v>183</v>
      </c>
      <c r="D572" s="11">
        <v>2</v>
      </c>
      <c r="E572" s="11">
        <v>13</v>
      </c>
      <c r="F572" s="11">
        <v>921</v>
      </c>
      <c r="G572" s="11">
        <v>80070</v>
      </c>
      <c r="H572" s="21">
        <v>240</v>
      </c>
      <c r="I572" s="20">
        <f>I573</f>
        <v>0</v>
      </c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>
        <f>T573</f>
        <v>0</v>
      </c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</row>
    <row r="573" spans="1:38" ht="45" hidden="1" x14ac:dyDescent="0.25">
      <c r="A573" s="5" t="s">
        <v>30</v>
      </c>
      <c r="B573" s="5" t="s">
        <v>30</v>
      </c>
      <c r="C573" s="11" t="s">
        <v>183</v>
      </c>
      <c r="D573" s="11">
        <v>2</v>
      </c>
      <c r="E573" s="11">
        <v>13</v>
      </c>
      <c r="F573" s="11">
        <v>921</v>
      </c>
      <c r="G573" s="11">
        <v>80070</v>
      </c>
      <c r="H573" s="21">
        <v>244</v>
      </c>
      <c r="I573" s="20">
        <v>0</v>
      </c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>
        <v>0</v>
      </c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</row>
    <row r="574" spans="1:38" s="44" customFormat="1" ht="21" x14ac:dyDescent="0.25">
      <c r="A574" s="3"/>
      <c r="B574" s="3" t="s">
        <v>127</v>
      </c>
      <c r="C574" s="13" t="s">
        <v>183</v>
      </c>
      <c r="D574" s="13">
        <v>2</v>
      </c>
      <c r="E574" s="13">
        <v>13</v>
      </c>
      <c r="F574" s="13">
        <v>921</v>
      </c>
      <c r="G574" s="13">
        <v>83360</v>
      </c>
      <c r="H574" s="14"/>
      <c r="I574" s="15">
        <f t="shared" ref="I574:AD575" si="112">I575</f>
        <v>3200</v>
      </c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>
        <f t="shared" si="112"/>
        <v>3200</v>
      </c>
      <c r="U574" s="15"/>
      <c r="V574" s="15"/>
      <c r="W574" s="15"/>
      <c r="X574" s="15"/>
      <c r="Y574" s="15">
        <f t="shared" si="112"/>
        <v>3200</v>
      </c>
      <c r="Z574" s="15"/>
      <c r="AA574" s="15"/>
      <c r="AB574" s="15"/>
      <c r="AC574" s="15"/>
      <c r="AD574" s="15">
        <f t="shared" si="112"/>
        <v>3200</v>
      </c>
      <c r="AF574" s="30"/>
      <c r="AG574" s="30"/>
      <c r="AH574" s="30"/>
      <c r="AI574" s="30"/>
      <c r="AJ574" s="30"/>
      <c r="AK574" s="30"/>
      <c r="AL574" s="30"/>
    </row>
    <row r="575" spans="1:38" x14ac:dyDescent="0.25">
      <c r="A575" s="5"/>
      <c r="B575" s="5" t="s">
        <v>59</v>
      </c>
      <c r="C575" s="11" t="s">
        <v>183</v>
      </c>
      <c r="D575" s="11">
        <v>2</v>
      </c>
      <c r="E575" s="11">
        <v>13</v>
      </c>
      <c r="F575" s="11">
        <v>921</v>
      </c>
      <c r="G575" s="11">
        <v>83360</v>
      </c>
      <c r="H575" s="21" t="s">
        <v>130</v>
      </c>
      <c r="I575" s="20">
        <f t="shared" si="112"/>
        <v>3200</v>
      </c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>
        <f t="shared" si="112"/>
        <v>3200</v>
      </c>
      <c r="U575" s="20"/>
      <c r="V575" s="20"/>
      <c r="W575" s="20"/>
      <c r="X575" s="20"/>
      <c r="Y575" s="20">
        <f t="shared" si="112"/>
        <v>3200</v>
      </c>
      <c r="Z575" s="20"/>
      <c r="AA575" s="20"/>
      <c r="AB575" s="20"/>
      <c r="AC575" s="20"/>
      <c r="AD575" s="20">
        <f t="shared" si="112"/>
        <v>3200</v>
      </c>
    </row>
    <row r="576" spans="1:38" x14ac:dyDescent="0.25">
      <c r="A576" s="5"/>
      <c r="B576" s="5" t="s">
        <v>62</v>
      </c>
      <c r="C576" s="11" t="s">
        <v>183</v>
      </c>
      <c r="D576" s="11">
        <v>2</v>
      </c>
      <c r="E576" s="11">
        <v>13</v>
      </c>
      <c r="F576" s="11">
        <v>921</v>
      </c>
      <c r="G576" s="11">
        <v>83360</v>
      </c>
      <c r="H576" s="21">
        <v>850</v>
      </c>
      <c r="I576" s="20">
        <f>I577+I578</f>
        <v>3200</v>
      </c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>
        <f>T577+T578</f>
        <v>3200</v>
      </c>
      <c r="U576" s="20"/>
      <c r="V576" s="20"/>
      <c r="W576" s="20"/>
      <c r="X576" s="20"/>
      <c r="Y576" s="20">
        <f>Y577+Y578</f>
        <v>3200</v>
      </c>
      <c r="Z576" s="20"/>
      <c r="AA576" s="20"/>
      <c r="AB576" s="20"/>
      <c r="AC576" s="20"/>
      <c r="AD576" s="20">
        <f>AD577+AD578</f>
        <v>3200</v>
      </c>
    </row>
    <row r="577" spans="1:38" ht="22.5" hidden="1" x14ac:dyDescent="0.25">
      <c r="A577" s="5"/>
      <c r="B577" s="5" t="s">
        <v>208</v>
      </c>
      <c r="C577" s="11" t="s">
        <v>183</v>
      </c>
      <c r="D577" s="11">
        <v>2</v>
      </c>
      <c r="E577" s="11">
        <v>13</v>
      </c>
      <c r="F577" s="11">
        <v>921</v>
      </c>
      <c r="G577" s="11">
        <v>83360</v>
      </c>
      <c r="H577" s="21" t="s">
        <v>134</v>
      </c>
      <c r="I577" s="20">
        <v>0</v>
      </c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>
        <v>0</v>
      </c>
      <c r="U577" s="20"/>
      <c r="V577" s="20"/>
      <c r="W577" s="20"/>
      <c r="X577" s="20"/>
      <c r="Y577" s="20">
        <v>0</v>
      </c>
      <c r="Z577" s="20"/>
      <c r="AA577" s="20"/>
      <c r="AB577" s="20"/>
      <c r="AC577" s="20"/>
      <c r="AD577" s="20">
        <v>0</v>
      </c>
    </row>
    <row r="578" spans="1:38" x14ac:dyDescent="0.25">
      <c r="A578" s="5"/>
      <c r="B578" s="5" t="s">
        <v>209</v>
      </c>
      <c r="C578" s="11" t="s">
        <v>183</v>
      </c>
      <c r="D578" s="11">
        <v>2</v>
      </c>
      <c r="E578" s="11">
        <v>13</v>
      </c>
      <c r="F578" s="11">
        <v>921</v>
      </c>
      <c r="G578" s="11">
        <v>83360</v>
      </c>
      <c r="H578" s="21">
        <v>853</v>
      </c>
      <c r="I578" s="20">
        <v>3200</v>
      </c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>
        <v>3200</v>
      </c>
      <c r="U578" s="20"/>
      <c r="V578" s="20"/>
      <c r="W578" s="20"/>
      <c r="X578" s="20"/>
      <c r="Y578" s="20">
        <v>3200</v>
      </c>
      <c r="Z578" s="20"/>
      <c r="AA578" s="20"/>
      <c r="AB578" s="20"/>
      <c r="AC578" s="20"/>
      <c r="AD578" s="20">
        <v>3200</v>
      </c>
    </row>
    <row r="579" spans="1:38" ht="54" customHeight="1" x14ac:dyDescent="0.25">
      <c r="A579" s="3" t="s">
        <v>210</v>
      </c>
      <c r="B579" s="3" t="s">
        <v>211</v>
      </c>
      <c r="C579" s="13" t="s">
        <v>183</v>
      </c>
      <c r="D579" s="13">
        <v>3</v>
      </c>
      <c r="E579" s="13"/>
      <c r="F579" s="13"/>
      <c r="G579" s="11"/>
      <c r="H579" s="21"/>
      <c r="I579" s="15">
        <f>I580</f>
        <v>14809885.449999999</v>
      </c>
      <c r="J579" s="15">
        <f>J580</f>
        <v>400000</v>
      </c>
      <c r="K579" s="15">
        <f>K580</f>
        <v>54695212.759999998</v>
      </c>
      <c r="L579" s="15">
        <f>L580</f>
        <v>0</v>
      </c>
      <c r="M579" s="15"/>
      <c r="N579" s="15"/>
      <c r="O579" s="15">
        <f>O580</f>
        <v>0</v>
      </c>
      <c r="P579" s="15"/>
      <c r="Q579" s="15"/>
      <c r="R579" s="15"/>
      <c r="S579" s="15"/>
      <c r="T579" s="15">
        <f>T580</f>
        <v>69905098.209999993</v>
      </c>
      <c r="U579" s="15"/>
      <c r="V579" s="15"/>
      <c r="W579" s="15"/>
      <c r="X579" s="15"/>
      <c r="Y579" s="15">
        <f>Y580</f>
        <v>20294294.030000001</v>
      </c>
      <c r="Z579" s="15"/>
      <c r="AA579" s="15"/>
      <c r="AB579" s="15"/>
      <c r="AC579" s="15"/>
      <c r="AD579" s="15">
        <f>AD580</f>
        <v>14105570.4</v>
      </c>
    </row>
    <row r="580" spans="1:38" ht="57" customHeight="1" x14ac:dyDescent="0.25">
      <c r="A580" s="3" t="s">
        <v>212</v>
      </c>
      <c r="B580" s="3" t="s">
        <v>212</v>
      </c>
      <c r="C580" s="13" t="s">
        <v>183</v>
      </c>
      <c r="D580" s="13">
        <v>3</v>
      </c>
      <c r="E580" s="13">
        <v>11</v>
      </c>
      <c r="F580" s="13"/>
      <c r="G580" s="11"/>
      <c r="H580" s="21"/>
      <c r="I580" s="15">
        <f>I581+I589+I625</f>
        <v>14809885.449999999</v>
      </c>
      <c r="J580" s="15">
        <f>J581+J589+J625</f>
        <v>400000</v>
      </c>
      <c r="K580" s="15">
        <f>K581+K589+K625</f>
        <v>54695212.759999998</v>
      </c>
      <c r="L580" s="15">
        <f>L581+L589+L625</f>
        <v>0</v>
      </c>
      <c r="M580" s="15"/>
      <c r="N580" s="15"/>
      <c r="O580" s="15">
        <f>O581+O589+O625</f>
        <v>0</v>
      </c>
      <c r="P580" s="15"/>
      <c r="Q580" s="15"/>
      <c r="R580" s="15"/>
      <c r="S580" s="15"/>
      <c r="T580" s="15">
        <f>T581+T589+T625</f>
        <v>69905098.209999993</v>
      </c>
      <c r="U580" s="15"/>
      <c r="V580" s="15"/>
      <c r="W580" s="15"/>
      <c r="X580" s="15"/>
      <c r="Y580" s="15">
        <f>Y581+Y589+Y625</f>
        <v>20294294.030000001</v>
      </c>
      <c r="Z580" s="15"/>
      <c r="AA580" s="15"/>
      <c r="AB580" s="15"/>
      <c r="AC580" s="15"/>
      <c r="AD580" s="15">
        <f>AD581+AD589+AD625</f>
        <v>14105570.4</v>
      </c>
    </row>
    <row r="581" spans="1:38" ht="21" hidden="1" x14ac:dyDescent="0.25">
      <c r="A581" s="3" t="s">
        <v>20</v>
      </c>
      <c r="B581" s="3" t="s">
        <v>20</v>
      </c>
      <c r="C581" s="13" t="s">
        <v>183</v>
      </c>
      <c r="D581" s="13">
        <v>3</v>
      </c>
      <c r="E581" s="13">
        <v>11</v>
      </c>
      <c r="F581" s="13">
        <v>902</v>
      </c>
      <c r="G581" s="11"/>
      <c r="H581" s="21"/>
      <c r="I581" s="15">
        <f>I582</f>
        <v>0</v>
      </c>
      <c r="J581" s="15">
        <f>J582</f>
        <v>0</v>
      </c>
      <c r="K581" s="15">
        <f>K582</f>
        <v>0</v>
      </c>
      <c r="L581" s="15">
        <f>L582</f>
        <v>0</v>
      </c>
      <c r="M581" s="15"/>
      <c r="N581" s="15"/>
      <c r="O581" s="15">
        <f>O582</f>
        <v>0</v>
      </c>
      <c r="P581" s="15"/>
      <c r="Q581" s="15"/>
      <c r="R581" s="15"/>
      <c r="S581" s="15"/>
      <c r="T581" s="15">
        <f>T582</f>
        <v>0</v>
      </c>
      <c r="U581" s="15"/>
      <c r="V581" s="15"/>
      <c r="W581" s="15"/>
      <c r="X581" s="15"/>
      <c r="Y581" s="15">
        <f>Y582</f>
        <v>0</v>
      </c>
      <c r="Z581" s="15"/>
      <c r="AA581" s="15"/>
      <c r="AB581" s="15"/>
      <c r="AC581" s="15"/>
      <c r="AD581" s="15">
        <f>AD582</f>
        <v>0</v>
      </c>
    </row>
    <row r="582" spans="1:38" ht="22.5" hidden="1" customHeight="1" x14ac:dyDescent="0.25">
      <c r="A582" s="3" t="s">
        <v>213</v>
      </c>
      <c r="B582" s="49" t="s">
        <v>214</v>
      </c>
      <c r="C582" s="13" t="s">
        <v>183</v>
      </c>
      <c r="D582" s="13">
        <v>3</v>
      </c>
      <c r="E582" s="13">
        <v>11</v>
      </c>
      <c r="F582" s="13">
        <v>902</v>
      </c>
      <c r="G582" s="13">
        <v>82330</v>
      </c>
      <c r="H582" s="14"/>
      <c r="I582" s="15">
        <f>I586+I583</f>
        <v>0</v>
      </c>
      <c r="J582" s="15">
        <f>J586+J583</f>
        <v>0</v>
      </c>
      <c r="K582" s="15">
        <f>K586+K583</f>
        <v>0</v>
      </c>
      <c r="L582" s="15">
        <f>L586+L583</f>
        <v>0</v>
      </c>
      <c r="M582" s="15"/>
      <c r="N582" s="15"/>
      <c r="O582" s="15">
        <f>O586+O583</f>
        <v>0</v>
      </c>
      <c r="P582" s="15"/>
      <c r="Q582" s="15"/>
      <c r="R582" s="15"/>
      <c r="S582" s="15"/>
      <c r="T582" s="15">
        <f>T586+T583</f>
        <v>0</v>
      </c>
      <c r="U582" s="15"/>
      <c r="V582" s="15"/>
      <c r="W582" s="15"/>
      <c r="X582" s="15"/>
      <c r="Y582" s="15">
        <f>Y586</f>
        <v>0</v>
      </c>
      <c r="Z582" s="15"/>
      <c r="AA582" s="15"/>
      <c r="AB582" s="15"/>
      <c r="AC582" s="15"/>
      <c r="AD582" s="15">
        <f>AD586</f>
        <v>0</v>
      </c>
    </row>
    <row r="583" spans="1:38" ht="47.25" hidden="1" customHeight="1" x14ac:dyDescent="0.25">
      <c r="A583" s="5" t="s">
        <v>26</v>
      </c>
      <c r="B583" s="5" t="s">
        <v>26</v>
      </c>
      <c r="C583" s="11" t="s">
        <v>183</v>
      </c>
      <c r="D583" s="11">
        <v>3</v>
      </c>
      <c r="E583" s="11">
        <v>11</v>
      </c>
      <c r="F583" s="11">
        <v>902</v>
      </c>
      <c r="G583" s="11">
        <v>82330</v>
      </c>
      <c r="H583" s="21">
        <v>200</v>
      </c>
      <c r="I583" s="20">
        <f t="shared" ref="I583:T584" si="113">I584</f>
        <v>0</v>
      </c>
      <c r="J583" s="20">
        <f t="shared" si="113"/>
        <v>0</v>
      </c>
      <c r="K583" s="20">
        <f t="shared" si="113"/>
        <v>0</v>
      </c>
      <c r="L583" s="20">
        <f t="shared" si="113"/>
        <v>0</v>
      </c>
      <c r="M583" s="20"/>
      <c r="N583" s="20"/>
      <c r="O583" s="20">
        <f t="shared" si="113"/>
        <v>0</v>
      </c>
      <c r="P583" s="20"/>
      <c r="Q583" s="20"/>
      <c r="R583" s="20"/>
      <c r="S583" s="20"/>
      <c r="T583" s="20">
        <f t="shared" si="113"/>
        <v>0</v>
      </c>
      <c r="U583" s="20"/>
      <c r="V583" s="20"/>
      <c r="W583" s="20"/>
      <c r="X583" s="20"/>
      <c r="Y583" s="15"/>
      <c r="Z583" s="15"/>
      <c r="AA583" s="15"/>
      <c r="AB583" s="15"/>
      <c r="AC583" s="15"/>
      <c r="AD583" s="15"/>
    </row>
    <row r="584" spans="1:38" ht="46.5" hidden="1" customHeight="1" x14ac:dyDescent="0.25">
      <c r="A584" s="5" t="s">
        <v>28</v>
      </c>
      <c r="B584" s="5" t="s">
        <v>28</v>
      </c>
      <c r="C584" s="11" t="s">
        <v>183</v>
      </c>
      <c r="D584" s="11">
        <v>3</v>
      </c>
      <c r="E584" s="11">
        <v>11</v>
      </c>
      <c r="F584" s="11">
        <v>902</v>
      </c>
      <c r="G584" s="11">
        <v>82330</v>
      </c>
      <c r="H584" s="21">
        <v>240</v>
      </c>
      <c r="I584" s="20">
        <f t="shared" si="113"/>
        <v>0</v>
      </c>
      <c r="J584" s="20">
        <f t="shared" si="113"/>
        <v>0</v>
      </c>
      <c r="K584" s="20">
        <f t="shared" si="113"/>
        <v>0</v>
      </c>
      <c r="L584" s="20">
        <f t="shared" si="113"/>
        <v>0</v>
      </c>
      <c r="M584" s="20"/>
      <c r="N584" s="20"/>
      <c r="O584" s="20">
        <f t="shared" si="113"/>
        <v>0</v>
      </c>
      <c r="P584" s="20"/>
      <c r="Q584" s="20"/>
      <c r="R584" s="20"/>
      <c r="S584" s="20"/>
      <c r="T584" s="20">
        <f t="shared" si="113"/>
        <v>0</v>
      </c>
      <c r="U584" s="20"/>
      <c r="V584" s="20"/>
      <c r="W584" s="20"/>
      <c r="X584" s="20"/>
      <c r="Y584" s="15"/>
      <c r="Z584" s="15"/>
      <c r="AA584" s="15"/>
      <c r="AB584" s="15"/>
      <c r="AC584" s="15"/>
      <c r="AD584" s="15"/>
    </row>
    <row r="585" spans="1:38" ht="46.5" hidden="1" customHeight="1" x14ac:dyDescent="0.25">
      <c r="A585" s="5" t="s">
        <v>215</v>
      </c>
      <c r="B585" s="5" t="s">
        <v>215</v>
      </c>
      <c r="C585" s="11" t="s">
        <v>183</v>
      </c>
      <c r="D585" s="11">
        <v>3</v>
      </c>
      <c r="E585" s="11">
        <v>11</v>
      </c>
      <c r="F585" s="11">
        <v>902</v>
      </c>
      <c r="G585" s="11">
        <v>82330</v>
      </c>
      <c r="H585" s="21">
        <v>244</v>
      </c>
      <c r="I585" s="20">
        <v>0</v>
      </c>
      <c r="J585" s="20">
        <v>0</v>
      </c>
      <c r="K585" s="20">
        <v>0</v>
      </c>
      <c r="L585" s="20">
        <v>0</v>
      </c>
      <c r="M585" s="20"/>
      <c r="N585" s="20"/>
      <c r="O585" s="20">
        <v>0</v>
      </c>
      <c r="P585" s="20"/>
      <c r="Q585" s="20"/>
      <c r="R585" s="20"/>
      <c r="S585" s="20"/>
      <c r="T585" s="20">
        <v>0</v>
      </c>
      <c r="U585" s="20"/>
      <c r="V585" s="20"/>
      <c r="W585" s="20"/>
      <c r="X585" s="20"/>
      <c r="Y585" s="15">
        <v>0</v>
      </c>
      <c r="Z585" s="15"/>
      <c r="AA585" s="15"/>
      <c r="AB585" s="15"/>
      <c r="AC585" s="15"/>
      <c r="AD585" s="15">
        <v>0</v>
      </c>
    </row>
    <row r="586" spans="1:38" ht="33.75" hidden="1" x14ac:dyDescent="0.25">
      <c r="A586" s="5" t="s">
        <v>70</v>
      </c>
      <c r="B586" s="5" t="s">
        <v>70</v>
      </c>
      <c r="C586" s="11" t="s">
        <v>183</v>
      </c>
      <c r="D586" s="11">
        <v>3</v>
      </c>
      <c r="E586" s="11">
        <v>11</v>
      </c>
      <c r="F586" s="11">
        <v>902</v>
      </c>
      <c r="G586" s="11">
        <v>82330</v>
      </c>
      <c r="H586" s="21">
        <v>400</v>
      </c>
      <c r="I586" s="20">
        <f t="shared" ref="I586:AD587" si="114">I587</f>
        <v>0</v>
      </c>
      <c r="J586" s="20">
        <f t="shared" si="114"/>
        <v>0</v>
      </c>
      <c r="K586" s="20">
        <f t="shared" si="114"/>
        <v>0</v>
      </c>
      <c r="L586" s="20">
        <f t="shared" si="114"/>
        <v>0</v>
      </c>
      <c r="M586" s="20"/>
      <c r="N586" s="20"/>
      <c r="O586" s="20">
        <f t="shared" si="114"/>
        <v>0</v>
      </c>
      <c r="P586" s="20"/>
      <c r="Q586" s="20"/>
      <c r="R586" s="20"/>
      <c r="S586" s="20"/>
      <c r="T586" s="20">
        <f t="shared" si="114"/>
        <v>0</v>
      </c>
      <c r="U586" s="20"/>
      <c r="V586" s="20"/>
      <c r="W586" s="20"/>
      <c r="X586" s="20"/>
      <c r="Y586" s="20">
        <f t="shared" si="114"/>
        <v>0</v>
      </c>
      <c r="Z586" s="20"/>
      <c r="AA586" s="20"/>
      <c r="AB586" s="20"/>
      <c r="AC586" s="20"/>
      <c r="AD586" s="20">
        <f t="shared" si="114"/>
        <v>0</v>
      </c>
    </row>
    <row r="587" spans="1:38" hidden="1" x14ac:dyDescent="0.25">
      <c r="A587" s="5" t="s">
        <v>71</v>
      </c>
      <c r="B587" s="5" t="s">
        <v>71</v>
      </c>
      <c r="C587" s="11" t="s">
        <v>183</v>
      </c>
      <c r="D587" s="11">
        <v>3</v>
      </c>
      <c r="E587" s="11">
        <v>11</v>
      </c>
      <c r="F587" s="11">
        <v>902</v>
      </c>
      <c r="G587" s="11">
        <v>82330</v>
      </c>
      <c r="H587" s="21">
        <v>410</v>
      </c>
      <c r="I587" s="20">
        <f t="shared" si="114"/>
        <v>0</v>
      </c>
      <c r="J587" s="20">
        <f t="shared" si="114"/>
        <v>0</v>
      </c>
      <c r="K587" s="20">
        <f t="shared" si="114"/>
        <v>0</v>
      </c>
      <c r="L587" s="20">
        <f t="shared" si="114"/>
        <v>0</v>
      </c>
      <c r="M587" s="20"/>
      <c r="N587" s="20"/>
      <c r="O587" s="20">
        <f t="shared" si="114"/>
        <v>0</v>
      </c>
      <c r="P587" s="20"/>
      <c r="Q587" s="20"/>
      <c r="R587" s="20"/>
      <c r="S587" s="20"/>
      <c r="T587" s="20">
        <f t="shared" si="114"/>
        <v>0</v>
      </c>
      <c r="U587" s="20"/>
      <c r="V587" s="20"/>
      <c r="W587" s="20"/>
      <c r="X587" s="20"/>
      <c r="Y587" s="20">
        <f t="shared" si="114"/>
        <v>0</v>
      </c>
      <c r="Z587" s="20"/>
      <c r="AA587" s="20"/>
      <c r="AB587" s="20"/>
      <c r="AC587" s="20"/>
      <c r="AD587" s="20">
        <f t="shared" si="114"/>
        <v>0</v>
      </c>
    </row>
    <row r="588" spans="1:38" s="44" customFormat="1" ht="45" hidden="1" x14ac:dyDescent="0.25">
      <c r="A588" s="5" t="s">
        <v>94</v>
      </c>
      <c r="B588" s="5" t="s">
        <v>94</v>
      </c>
      <c r="C588" s="11" t="s">
        <v>183</v>
      </c>
      <c r="D588" s="11">
        <v>3</v>
      </c>
      <c r="E588" s="11">
        <v>11</v>
      </c>
      <c r="F588" s="11">
        <v>902</v>
      </c>
      <c r="G588" s="11">
        <v>82330</v>
      </c>
      <c r="H588" s="21">
        <v>414</v>
      </c>
      <c r="I588" s="20">
        <v>0</v>
      </c>
      <c r="J588" s="20">
        <v>0</v>
      </c>
      <c r="K588" s="20">
        <v>0</v>
      </c>
      <c r="L588" s="20">
        <v>0</v>
      </c>
      <c r="M588" s="20"/>
      <c r="N588" s="20"/>
      <c r="O588" s="20">
        <v>0</v>
      </c>
      <c r="P588" s="20"/>
      <c r="Q588" s="20"/>
      <c r="R588" s="20"/>
      <c r="S588" s="20"/>
      <c r="T588" s="20">
        <v>0</v>
      </c>
      <c r="U588" s="20"/>
      <c r="V588" s="20"/>
      <c r="W588" s="20"/>
      <c r="X588" s="20"/>
      <c r="Y588" s="20">
        <v>0</v>
      </c>
      <c r="Z588" s="20"/>
      <c r="AA588" s="20"/>
      <c r="AB588" s="20"/>
      <c r="AC588" s="20"/>
      <c r="AD588" s="20">
        <v>0</v>
      </c>
      <c r="AF588" s="30"/>
      <c r="AG588" s="30"/>
      <c r="AH588" s="30"/>
      <c r="AI588" s="30"/>
      <c r="AJ588" s="30"/>
      <c r="AK588" s="30"/>
      <c r="AL588" s="30"/>
    </row>
    <row r="589" spans="1:38" ht="36.75" customHeight="1" x14ac:dyDescent="0.25">
      <c r="A589" s="3" t="s">
        <v>173</v>
      </c>
      <c r="B589" s="3" t="s">
        <v>173</v>
      </c>
      <c r="C589" s="13" t="s">
        <v>183</v>
      </c>
      <c r="D589" s="13">
        <v>3</v>
      </c>
      <c r="E589" s="13">
        <v>11</v>
      </c>
      <c r="F589" s="13">
        <v>921</v>
      </c>
      <c r="G589" s="11"/>
      <c r="H589" s="21"/>
      <c r="I589" s="15">
        <f>I590+I598+I605+I609+I617+I633+I629+I621+I613</f>
        <v>6297979</v>
      </c>
      <c r="J589" s="15">
        <f>J590+J598+J605+J609+J617+J633+J629+J621+J613+J594</f>
        <v>400000</v>
      </c>
      <c r="K589" s="15">
        <f>K590+K598+K605+K609+K617+K633+K629+K621+K613+K594</f>
        <v>54695212.759999998</v>
      </c>
      <c r="L589" s="15">
        <f>L590+L598+L605+L609+L617+L633+L629+L621+L613+L594+L637</f>
        <v>0</v>
      </c>
      <c r="M589" s="15"/>
      <c r="N589" s="15"/>
      <c r="O589" s="15">
        <f>O590+O598+O605+O609+O617+O633+O629+O621+O613+O594+O637</f>
        <v>0</v>
      </c>
      <c r="P589" s="15"/>
      <c r="Q589" s="15"/>
      <c r="R589" s="15"/>
      <c r="S589" s="15"/>
      <c r="T589" s="15">
        <f>T590+T598+T605+T609+T617+T633+T629+T621+T613+T594+T637</f>
        <v>61393191.759999998</v>
      </c>
      <c r="U589" s="15">
        <f t="shared" ref="U589:AD589" si="115">U590+U598+U605+U609+U617+U633+U629+U621+U613+U594+U637</f>
        <v>0</v>
      </c>
      <c r="V589" s="15">
        <f t="shared" si="115"/>
        <v>0</v>
      </c>
      <c r="W589" s="15"/>
      <c r="X589" s="15"/>
      <c r="Y589" s="15">
        <f t="shared" si="115"/>
        <v>11782387.58</v>
      </c>
      <c r="Z589" s="15">
        <f t="shared" si="115"/>
        <v>0</v>
      </c>
      <c r="AA589" s="15">
        <f t="shared" si="115"/>
        <v>0</v>
      </c>
      <c r="AB589" s="15"/>
      <c r="AC589" s="15"/>
      <c r="AD589" s="15">
        <f t="shared" si="115"/>
        <v>4567979</v>
      </c>
    </row>
    <row r="590" spans="1:38" ht="21" hidden="1" x14ac:dyDescent="0.25">
      <c r="A590" s="3"/>
      <c r="B590" s="3" t="s">
        <v>216</v>
      </c>
      <c r="C590" s="13" t="s">
        <v>183</v>
      </c>
      <c r="D590" s="13">
        <v>3</v>
      </c>
      <c r="E590" s="13">
        <v>11</v>
      </c>
      <c r="F590" s="13">
        <v>921</v>
      </c>
      <c r="G590" s="13">
        <v>14790</v>
      </c>
      <c r="H590" s="14"/>
      <c r="I590" s="15">
        <f t="shared" ref="I590:AD592" si="116">I591</f>
        <v>0</v>
      </c>
      <c r="J590" s="15">
        <f t="shared" si="116"/>
        <v>0</v>
      </c>
      <c r="K590" s="15">
        <f t="shared" si="116"/>
        <v>0</v>
      </c>
      <c r="L590" s="15"/>
      <c r="M590" s="15"/>
      <c r="N590" s="15"/>
      <c r="O590" s="15"/>
      <c r="P590" s="15"/>
      <c r="Q590" s="15"/>
      <c r="R590" s="15"/>
      <c r="S590" s="15"/>
      <c r="T590" s="15">
        <f t="shared" si="116"/>
        <v>0</v>
      </c>
      <c r="U590" s="15"/>
      <c r="V590" s="15"/>
      <c r="W590" s="15"/>
      <c r="X590" s="15"/>
      <c r="Y590" s="15">
        <f t="shared" si="116"/>
        <v>0</v>
      </c>
      <c r="Z590" s="15"/>
      <c r="AA590" s="15"/>
      <c r="AB590" s="15"/>
      <c r="AC590" s="15"/>
      <c r="AD590" s="15">
        <f t="shared" si="116"/>
        <v>0</v>
      </c>
    </row>
    <row r="591" spans="1:38" ht="45" hidden="1" x14ac:dyDescent="0.25">
      <c r="A591" s="3"/>
      <c r="B591" s="5" t="s">
        <v>34</v>
      </c>
      <c r="C591" s="11" t="s">
        <v>183</v>
      </c>
      <c r="D591" s="11">
        <v>3</v>
      </c>
      <c r="E591" s="11">
        <v>11</v>
      </c>
      <c r="F591" s="11">
        <v>921</v>
      </c>
      <c r="G591" s="11">
        <v>14790</v>
      </c>
      <c r="H591" s="21" t="s">
        <v>35</v>
      </c>
      <c r="I591" s="20">
        <f t="shared" si="116"/>
        <v>0</v>
      </c>
      <c r="J591" s="20">
        <f t="shared" si="116"/>
        <v>0</v>
      </c>
      <c r="K591" s="20">
        <f t="shared" si="116"/>
        <v>0</v>
      </c>
      <c r="L591" s="20"/>
      <c r="M591" s="20"/>
      <c r="N591" s="20"/>
      <c r="O591" s="20"/>
      <c r="P591" s="20"/>
      <c r="Q591" s="20"/>
      <c r="R591" s="20"/>
      <c r="S591" s="20"/>
      <c r="T591" s="20">
        <f t="shared" si="116"/>
        <v>0</v>
      </c>
      <c r="U591" s="20"/>
      <c r="V591" s="20"/>
      <c r="W591" s="20"/>
      <c r="X591" s="20"/>
      <c r="Y591" s="20">
        <f t="shared" si="116"/>
        <v>0</v>
      </c>
      <c r="Z591" s="20"/>
      <c r="AA591" s="20"/>
      <c r="AB591" s="20"/>
      <c r="AC591" s="20"/>
      <c r="AD591" s="20">
        <f t="shared" si="116"/>
        <v>0</v>
      </c>
    </row>
    <row r="592" spans="1:38" hidden="1" x14ac:dyDescent="0.25">
      <c r="A592" s="3"/>
      <c r="B592" s="5" t="s">
        <v>36</v>
      </c>
      <c r="C592" s="11" t="s">
        <v>183</v>
      </c>
      <c r="D592" s="11">
        <v>3</v>
      </c>
      <c r="E592" s="11">
        <v>11</v>
      </c>
      <c r="F592" s="11">
        <v>921</v>
      </c>
      <c r="G592" s="11">
        <v>14790</v>
      </c>
      <c r="H592" s="21">
        <v>610</v>
      </c>
      <c r="I592" s="20">
        <f t="shared" si="116"/>
        <v>0</v>
      </c>
      <c r="J592" s="20">
        <f t="shared" si="116"/>
        <v>0</v>
      </c>
      <c r="K592" s="20">
        <f t="shared" si="116"/>
        <v>0</v>
      </c>
      <c r="L592" s="20"/>
      <c r="M592" s="20"/>
      <c r="N592" s="20"/>
      <c r="O592" s="20"/>
      <c r="P592" s="20"/>
      <c r="Q592" s="20"/>
      <c r="R592" s="20"/>
      <c r="S592" s="20"/>
      <c r="T592" s="20">
        <f t="shared" si="116"/>
        <v>0</v>
      </c>
      <c r="U592" s="20"/>
      <c r="V592" s="20"/>
      <c r="W592" s="20"/>
      <c r="X592" s="20"/>
      <c r="Y592" s="20">
        <f t="shared" si="116"/>
        <v>0</v>
      </c>
      <c r="Z592" s="20"/>
      <c r="AA592" s="20"/>
      <c r="AB592" s="20"/>
      <c r="AC592" s="20"/>
      <c r="AD592" s="20">
        <f t="shared" si="116"/>
        <v>0</v>
      </c>
    </row>
    <row r="593" spans="1:38" ht="22.5" hidden="1" x14ac:dyDescent="0.25">
      <c r="A593" s="3"/>
      <c r="B593" s="5" t="s">
        <v>108</v>
      </c>
      <c r="C593" s="11" t="s">
        <v>183</v>
      </c>
      <c r="D593" s="11">
        <v>3</v>
      </c>
      <c r="E593" s="11">
        <v>11</v>
      </c>
      <c r="F593" s="11">
        <v>921</v>
      </c>
      <c r="G593" s="11">
        <v>14790</v>
      </c>
      <c r="H593" s="21">
        <v>612</v>
      </c>
      <c r="I593" s="20">
        <v>0</v>
      </c>
      <c r="J593" s="20">
        <v>0</v>
      </c>
      <c r="K593" s="20">
        <v>0</v>
      </c>
      <c r="L593" s="20"/>
      <c r="M593" s="20"/>
      <c r="N593" s="20"/>
      <c r="O593" s="20"/>
      <c r="P593" s="20"/>
      <c r="Q593" s="20"/>
      <c r="R593" s="20"/>
      <c r="S593" s="20"/>
      <c r="T593" s="20">
        <v>0</v>
      </c>
      <c r="U593" s="20"/>
      <c r="V593" s="20"/>
      <c r="W593" s="20"/>
      <c r="X593" s="20"/>
      <c r="Y593" s="20">
        <v>0</v>
      </c>
      <c r="Z593" s="20"/>
      <c r="AA593" s="20"/>
      <c r="AB593" s="20"/>
      <c r="AC593" s="20"/>
      <c r="AD593" s="20">
        <v>0</v>
      </c>
    </row>
    <row r="594" spans="1:38" ht="21" x14ac:dyDescent="0.25">
      <c r="A594" s="3"/>
      <c r="B594" s="3" t="s">
        <v>330</v>
      </c>
      <c r="C594" s="13" t="s">
        <v>183</v>
      </c>
      <c r="D594" s="13">
        <v>3</v>
      </c>
      <c r="E594" s="13">
        <v>11</v>
      </c>
      <c r="F594" s="13">
        <v>921</v>
      </c>
      <c r="G594" s="13">
        <v>82300</v>
      </c>
      <c r="H594" s="14"/>
      <c r="I594" s="15"/>
      <c r="J594" s="15">
        <f t="shared" ref="J594:T596" si="117">J595</f>
        <v>400000</v>
      </c>
      <c r="K594" s="15">
        <f t="shared" si="117"/>
        <v>200000</v>
      </c>
      <c r="L594" s="15"/>
      <c r="M594" s="15"/>
      <c r="N594" s="15"/>
      <c r="O594" s="15"/>
      <c r="P594" s="15"/>
      <c r="Q594" s="15"/>
      <c r="R594" s="15"/>
      <c r="S594" s="15"/>
      <c r="T594" s="15">
        <f t="shared" si="117"/>
        <v>600000</v>
      </c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8" ht="22.5" x14ac:dyDescent="0.25">
      <c r="A595" s="3"/>
      <c r="B595" s="5" t="s">
        <v>34</v>
      </c>
      <c r="C595" s="11" t="s">
        <v>183</v>
      </c>
      <c r="D595" s="11">
        <v>3</v>
      </c>
      <c r="E595" s="11">
        <v>11</v>
      </c>
      <c r="F595" s="11">
        <v>921</v>
      </c>
      <c r="G595" s="11">
        <v>82300</v>
      </c>
      <c r="H595" s="21">
        <v>600</v>
      </c>
      <c r="I595" s="20"/>
      <c r="J595" s="20">
        <f t="shared" si="117"/>
        <v>400000</v>
      </c>
      <c r="K595" s="20">
        <f t="shared" si="117"/>
        <v>200000</v>
      </c>
      <c r="L595" s="20"/>
      <c r="M595" s="20"/>
      <c r="N595" s="20"/>
      <c r="O595" s="20"/>
      <c r="P595" s="20"/>
      <c r="Q595" s="20"/>
      <c r="R595" s="20"/>
      <c r="S595" s="20"/>
      <c r="T595" s="20">
        <f t="shared" si="117"/>
        <v>600000</v>
      </c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</row>
    <row r="596" spans="1:38" x14ac:dyDescent="0.25">
      <c r="A596" s="3"/>
      <c r="B596" s="5" t="s">
        <v>36</v>
      </c>
      <c r="C596" s="11" t="s">
        <v>183</v>
      </c>
      <c r="D596" s="11">
        <v>3</v>
      </c>
      <c r="E596" s="11">
        <v>11</v>
      </c>
      <c r="F596" s="11">
        <v>921</v>
      </c>
      <c r="G596" s="11">
        <v>82300</v>
      </c>
      <c r="H596" s="21">
        <v>610</v>
      </c>
      <c r="I596" s="20"/>
      <c r="J596" s="20">
        <f t="shared" si="117"/>
        <v>400000</v>
      </c>
      <c r="K596" s="20">
        <f t="shared" si="117"/>
        <v>200000</v>
      </c>
      <c r="L596" s="20"/>
      <c r="M596" s="20"/>
      <c r="N596" s="20"/>
      <c r="O596" s="20"/>
      <c r="P596" s="20"/>
      <c r="Q596" s="20"/>
      <c r="R596" s="20"/>
      <c r="S596" s="20"/>
      <c r="T596" s="20">
        <f t="shared" si="117"/>
        <v>600000</v>
      </c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</row>
    <row r="597" spans="1:38" x14ac:dyDescent="0.25">
      <c r="A597" s="3"/>
      <c r="B597" s="5" t="s">
        <v>108</v>
      </c>
      <c r="C597" s="11" t="s">
        <v>183</v>
      </c>
      <c r="D597" s="11">
        <v>3</v>
      </c>
      <c r="E597" s="11">
        <v>11</v>
      </c>
      <c r="F597" s="11">
        <v>921</v>
      </c>
      <c r="G597" s="11">
        <v>82300</v>
      </c>
      <c r="H597" s="21">
        <v>612</v>
      </c>
      <c r="I597" s="20"/>
      <c r="J597" s="20">
        <v>400000</v>
      </c>
      <c r="K597" s="20">
        <v>200000</v>
      </c>
      <c r="L597" s="20"/>
      <c r="M597" s="20"/>
      <c r="N597" s="20"/>
      <c r="O597" s="20"/>
      <c r="P597" s="20"/>
      <c r="Q597" s="20"/>
      <c r="R597" s="20"/>
      <c r="S597" s="20"/>
      <c r="T597" s="20">
        <f>J597+K597</f>
        <v>600000</v>
      </c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</row>
    <row r="598" spans="1:38" ht="36.75" customHeight="1" x14ac:dyDescent="0.25">
      <c r="A598" s="3" t="s">
        <v>213</v>
      </c>
      <c r="B598" s="49" t="s">
        <v>214</v>
      </c>
      <c r="C598" s="13" t="s">
        <v>183</v>
      </c>
      <c r="D598" s="13">
        <v>3</v>
      </c>
      <c r="E598" s="13">
        <v>11</v>
      </c>
      <c r="F598" s="13">
        <v>921</v>
      </c>
      <c r="G598" s="13">
        <v>82330</v>
      </c>
      <c r="H598" s="14"/>
      <c r="I598" s="15">
        <f>I599+I602</f>
        <v>875000</v>
      </c>
      <c r="J598" s="15"/>
      <c r="K598" s="15"/>
      <c r="L598" s="15">
        <f>L599+L602</f>
        <v>-94698.03</v>
      </c>
      <c r="M598" s="15"/>
      <c r="N598" s="15"/>
      <c r="O598" s="15"/>
      <c r="P598" s="15"/>
      <c r="Q598" s="15"/>
      <c r="R598" s="15"/>
      <c r="S598" s="15"/>
      <c r="T598" s="15">
        <f>T599+T602</f>
        <v>780301.97</v>
      </c>
      <c r="U598" s="15"/>
      <c r="V598" s="15"/>
      <c r="W598" s="15"/>
      <c r="X598" s="15"/>
      <c r="Y598" s="15">
        <f>Y599+Y602</f>
        <v>85322.579999999987</v>
      </c>
      <c r="Z598" s="15"/>
      <c r="AA598" s="15"/>
      <c r="AB598" s="15"/>
      <c r="AC598" s="15"/>
      <c r="AD598" s="15">
        <f>AD599+AD602</f>
        <v>685322.58</v>
      </c>
    </row>
    <row r="599" spans="1:38" ht="22.5" x14ac:dyDescent="0.25">
      <c r="A599" s="5" t="s">
        <v>26</v>
      </c>
      <c r="B599" s="5" t="s">
        <v>26</v>
      </c>
      <c r="C599" s="11" t="s">
        <v>183</v>
      </c>
      <c r="D599" s="11">
        <v>3</v>
      </c>
      <c r="E599" s="11">
        <v>11</v>
      </c>
      <c r="F599" s="11">
        <v>921</v>
      </c>
      <c r="G599" s="11">
        <v>82330</v>
      </c>
      <c r="H599" s="21">
        <v>200</v>
      </c>
      <c r="I599" s="20">
        <f t="shared" ref="I599:AD600" si="118">I600</f>
        <v>250000</v>
      </c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>
        <f t="shared" si="118"/>
        <v>250000</v>
      </c>
      <c r="U599" s="20"/>
      <c r="V599" s="20"/>
      <c r="W599" s="20"/>
      <c r="X599" s="20"/>
      <c r="Y599" s="20">
        <f t="shared" si="118"/>
        <v>0</v>
      </c>
      <c r="Z599" s="20"/>
      <c r="AA599" s="20"/>
      <c r="AB599" s="20"/>
      <c r="AC599" s="20"/>
      <c r="AD599" s="20">
        <f t="shared" si="118"/>
        <v>250000</v>
      </c>
    </row>
    <row r="600" spans="1:38" ht="33.75" x14ac:dyDescent="0.25">
      <c r="A600" s="5" t="s">
        <v>28</v>
      </c>
      <c r="B600" s="5" t="s">
        <v>28</v>
      </c>
      <c r="C600" s="11" t="s">
        <v>183</v>
      </c>
      <c r="D600" s="11">
        <v>3</v>
      </c>
      <c r="E600" s="11">
        <v>11</v>
      </c>
      <c r="F600" s="11">
        <v>921</v>
      </c>
      <c r="G600" s="11">
        <v>82330</v>
      </c>
      <c r="H600" s="21">
        <v>240</v>
      </c>
      <c r="I600" s="20">
        <f t="shared" si="118"/>
        <v>250000</v>
      </c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>
        <f t="shared" si="118"/>
        <v>250000</v>
      </c>
      <c r="U600" s="20"/>
      <c r="V600" s="20"/>
      <c r="W600" s="20"/>
      <c r="X600" s="20"/>
      <c r="Y600" s="20">
        <f t="shared" si="118"/>
        <v>0</v>
      </c>
      <c r="Z600" s="20"/>
      <c r="AA600" s="20"/>
      <c r="AB600" s="20"/>
      <c r="AC600" s="20"/>
      <c r="AD600" s="20">
        <f t="shared" si="118"/>
        <v>250000</v>
      </c>
    </row>
    <row r="601" spans="1:38" s="44" customFormat="1" ht="33.75" x14ac:dyDescent="0.25">
      <c r="A601" s="5" t="s">
        <v>215</v>
      </c>
      <c r="B601" s="5" t="s">
        <v>215</v>
      </c>
      <c r="C601" s="11" t="s">
        <v>183</v>
      </c>
      <c r="D601" s="11">
        <v>3</v>
      </c>
      <c r="E601" s="11">
        <v>11</v>
      </c>
      <c r="F601" s="11">
        <v>921</v>
      </c>
      <c r="G601" s="11">
        <v>82330</v>
      </c>
      <c r="H601" s="21">
        <v>244</v>
      </c>
      <c r="I601" s="20">
        <v>250000</v>
      </c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>
        <v>250000</v>
      </c>
      <c r="U601" s="20"/>
      <c r="V601" s="20"/>
      <c r="W601" s="20"/>
      <c r="X601" s="20"/>
      <c r="Y601" s="20">
        <v>0</v>
      </c>
      <c r="Z601" s="20"/>
      <c r="AA601" s="20"/>
      <c r="AB601" s="20"/>
      <c r="AC601" s="20"/>
      <c r="AD601" s="20">
        <v>250000</v>
      </c>
      <c r="AF601" s="30"/>
      <c r="AG601" s="30"/>
      <c r="AH601" s="30"/>
      <c r="AI601" s="30"/>
      <c r="AJ601" s="30"/>
      <c r="AK601" s="30"/>
      <c r="AL601" s="30"/>
    </row>
    <row r="602" spans="1:38" ht="33.75" x14ac:dyDescent="0.25">
      <c r="A602" s="5" t="s">
        <v>34</v>
      </c>
      <c r="B602" s="5" t="s">
        <v>34</v>
      </c>
      <c r="C602" s="11" t="s">
        <v>183</v>
      </c>
      <c r="D602" s="11">
        <v>3</v>
      </c>
      <c r="E602" s="11">
        <v>11</v>
      </c>
      <c r="F602" s="11">
        <v>921</v>
      </c>
      <c r="G602" s="11">
        <v>82330</v>
      </c>
      <c r="H602" s="21" t="s">
        <v>35</v>
      </c>
      <c r="I602" s="20">
        <f t="shared" ref="I602:AD603" si="119">I603</f>
        <v>625000</v>
      </c>
      <c r="J602" s="20"/>
      <c r="K602" s="20"/>
      <c r="L602" s="20">
        <f t="shared" si="119"/>
        <v>-94698.03</v>
      </c>
      <c r="M602" s="20"/>
      <c r="N602" s="20"/>
      <c r="O602" s="20"/>
      <c r="P602" s="20"/>
      <c r="Q602" s="20"/>
      <c r="R602" s="20"/>
      <c r="S602" s="20"/>
      <c r="T602" s="20">
        <f t="shared" si="119"/>
        <v>530301.97</v>
      </c>
      <c r="U602" s="20"/>
      <c r="V602" s="20"/>
      <c r="W602" s="20"/>
      <c r="X602" s="20"/>
      <c r="Y602" s="20">
        <f t="shared" si="119"/>
        <v>85322.579999999987</v>
      </c>
      <c r="Z602" s="20"/>
      <c r="AA602" s="20"/>
      <c r="AB602" s="20"/>
      <c r="AC602" s="20"/>
      <c r="AD602" s="20">
        <f t="shared" si="119"/>
        <v>435322.57999999996</v>
      </c>
    </row>
    <row r="603" spans="1:38" x14ac:dyDescent="0.25">
      <c r="A603" s="5" t="s">
        <v>36</v>
      </c>
      <c r="B603" s="5" t="s">
        <v>36</v>
      </c>
      <c r="C603" s="11" t="s">
        <v>183</v>
      </c>
      <c r="D603" s="11">
        <v>3</v>
      </c>
      <c r="E603" s="11">
        <v>11</v>
      </c>
      <c r="F603" s="11">
        <v>921</v>
      </c>
      <c r="G603" s="11">
        <v>82330</v>
      </c>
      <c r="H603" s="21">
        <v>610</v>
      </c>
      <c r="I603" s="20">
        <f t="shared" si="119"/>
        <v>625000</v>
      </c>
      <c r="J603" s="20"/>
      <c r="K603" s="20"/>
      <c r="L603" s="20">
        <f t="shared" si="119"/>
        <v>-94698.03</v>
      </c>
      <c r="M603" s="20"/>
      <c r="N603" s="20"/>
      <c r="O603" s="20"/>
      <c r="P603" s="20"/>
      <c r="Q603" s="20"/>
      <c r="R603" s="20"/>
      <c r="S603" s="20"/>
      <c r="T603" s="20">
        <f t="shared" si="119"/>
        <v>530301.97</v>
      </c>
      <c r="U603" s="20"/>
      <c r="V603" s="20"/>
      <c r="W603" s="20"/>
      <c r="X603" s="20"/>
      <c r="Y603" s="20">
        <f t="shared" si="119"/>
        <v>85322.579999999987</v>
      </c>
      <c r="Z603" s="20"/>
      <c r="AA603" s="20"/>
      <c r="AB603" s="20"/>
      <c r="AC603" s="20"/>
      <c r="AD603" s="20">
        <f t="shared" si="119"/>
        <v>435322.57999999996</v>
      </c>
    </row>
    <row r="604" spans="1:38" x14ac:dyDescent="0.25">
      <c r="A604" s="5" t="s">
        <v>108</v>
      </c>
      <c r="B604" s="5" t="s">
        <v>108</v>
      </c>
      <c r="C604" s="11" t="s">
        <v>183</v>
      </c>
      <c r="D604" s="11">
        <v>3</v>
      </c>
      <c r="E604" s="11">
        <v>11</v>
      </c>
      <c r="F604" s="11">
        <v>921</v>
      </c>
      <c r="G604" s="11">
        <v>82330</v>
      </c>
      <c r="H604" s="21">
        <v>612</v>
      </c>
      <c r="I604" s="20">
        <v>625000</v>
      </c>
      <c r="J604" s="20"/>
      <c r="K604" s="20"/>
      <c r="L604" s="20">
        <v>-94698.03</v>
      </c>
      <c r="M604" s="20"/>
      <c r="N604" s="20"/>
      <c r="O604" s="20"/>
      <c r="P604" s="20"/>
      <c r="Q604" s="20"/>
      <c r="R604" s="20"/>
      <c r="S604" s="20"/>
      <c r="T604" s="20">
        <f>625000+L604</f>
        <v>530301.97</v>
      </c>
      <c r="U604" s="20"/>
      <c r="V604" s="20"/>
      <c r="W604" s="20">
        <v>-189677.42</v>
      </c>
      <c r="X604" s="20"/>
      <c r="Y604" s="20">
        <f>275000+W604</f>
        <v>85322.579999999987</v>
      </c>
      <c r="Z604" s="20"/>
      <c r="AA604" s="20"/>
      <c r="AB604" s="20">
        <v>-189677.42</v>
      </c>
      <c r="AC604" s="20"/>
      <c r="AD604" s="20">
        <f>625000+AB604</f>
        <v>435322.57999999996</v>
      </c>
    </row>
    <row r="605" spans="1:38" ht="60" customHeight="1" x14ac:dyDescent="0.25">
      <c r="A605" s="3" t="s">
        <v>217</v>
      </c>
      <c r="B605" s="41" t="s">
        <v>218</v>
      </c>
      <c r="C605" s="13" t="s">
        <v>183</v>
      </c>
      <c r="D605" s="13">
        <v>3</v>
      </c>
      <c r="E605" s="13">
        <v>11</v>
      </c>
      <c r="F605" s="13">
        <v>921</v>
      </c>
      <c r="G605" s="13">
        <v>82370</v>
      </c>
      <c r="H605" s="14"/>
      <c r="I605" s="15">
        <f t="shared" ref="I605:AD607" si="120">I606</f>
        <v>331659</v>
      </c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>
        <f t="shared" si="120"/>
        <v>331659</v>
      </c>
      <c r="U605" s="15"/>
      <c r="V605" s="15"/>
      <c r="W605" s="15"/>
      <c r="X605" s="15"/>
      <c r="Y605" s="15">
        <f t="shared" si="120"/>
        <v>331659</v>
      </c>
      <c r="Z605" s="15"/>
      <c r="AA605" s="15"/>
      <c r="AB605" s="15"/>
      <c r="AC605" s="15"/>
      <c r="AD605" s="15">
        <f t="shared" si="120"/>
        <v>331659</v>
      </c>
    </row>
    <row r="606" spans="1:38" ht="22.5" x14ac:dyDescent="0.25">
      <c r="A606" s="5" t="s">
        <v>26</v>
      </c>
      <c r="B606" s="5" t="s">
        <v>34</v>
      </c>
      <c r="C606" s="11" t="s">
        <v>183</v>
      </c>
      <c r="D606" s="11">
        <v>3</v>
      </c>
      <c r="E606" s="11">
        <v>11</v>
      </c>
      <c r="F606" s="11">
        <v>921</v>
      </c>
      <c r="G606" s="11">
        <v>82370</v>
      </c>
      <c r="H606" s="21" t="s">
        <v>35</v>
      </c>
      <c r="I606" s="20">
        <f t="shared" si="120"/>
        <v>331659</v>
      </c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>
        <f t="shared" si="120"/>
        <v>331659</v>
      </c>
      <c r="U606" s="20"/>
      <c r="V606" s="20"/>
      <c r="W606" s="20"/>
      <c r="X606" s="20"/>
      <c r="Y606" s="20">
        <f t="shared" si="120"/>
        <v>331659</v>
      </c>
      <c r="Z606" s="20"/>
      <c r="AA606" s="20"/>
      <c r="AB606" s="20"/>
      <c r="AC606" s="20"/>
      <c r="AD606" s="20">
        <f t="shared" si="120"/>
        <v>331659</v>
      </c>
    </row>
    <row r="607" spans="1:38" ht="33.75" x14ac:dyDescent="0.25">
      <c r="A607" s="5" t="s">
        <v>28</v>
      </c>
      <c r="B607" s="5" t="s">
        <v>36</v>
      </c>
      <c r="C607" s="11" t="s">
        <v>183</v>
      </c>
      <c r="D607" s="11">
        <v>3</v>
      </c>
      <c r="E607" s="11">
        <v>11</v>
      </c>
      <c r="F607" s="11">
        <v>921</v>
      </c>
      <c r="G607" s="11">
        <v>82370</v>
      </c>
      <c r="H607" s="21">
        <v>610</v>
      </c>
      <c r="I607" s="20">
        <f t="shared" si="120"/>
        <v>331659</v>
      </c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>
        <f t="shared" si="120"/>
        <v>331659</v>
      </c>
      <c r="U607" s="20"/>
      <c r="V607" s="20"/>
      <c r="W607" s="20"/>
      <c r="X607" s="20"/>
      <c r="Y607" s="20">
        <f t="shared" si="120"/>
        <v>331659</v>
      </c>
      <c r="Z607" s="20"/>
      <c r="AA607" s="20"/>
      <c r="AB607" s="20"/>
      <c r="AC607" s="20"/>
      <c r="AD607" s="20">
        <f t="shared" si="120"/>
        <v>331659</v>
      </c>
    </row>
    <row r="608" spans="1:38" s="44" customFormat="1" ht="33.75" x14ac:dyDescent="0.25">
      <c r="A608" s="5" t="s">
        <v>215</v>
      </c>
      <c r="B608" s="5" t="s">
        <v>108</v>
      </c>
      <c r="C608" s="11" t="s">
        <v>183</v>
      </c>
      <c r="D608" s="11">
        <v>3</v>
      </c>
      <c r="E608" s="11">
        <v>11</v>
      </c>
      <c r="F608" s="11">
        <v>921</v>
      </c>
      <c r="G608" s="11">
        <v>82370</v>
      </c>
      <c r="H608" s="21">
        <v>612</v>
      </c>
      <c r="I608" s="20">
        <v>331659</v>
      </c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>
        <v>331659</v>
      </c>
      <c r="U608" s="20"/>
      <c r="V608" s="20"/>
      <c r="W608" s="20"/>
      <c r="X608" s="20"/>
      <c r="Y608" s="20">
        <v>331659</v>
      </c>
      <c r="Z608" s="20"/>
      <c r="AA608" s="20"/>
      <c r="AB608" s="20"/>
      <c r="AC608" s="20"/>
      <c r="AD608" s="20">
        <v>331659</v>
      </c>
      <c r="AF608" s="30"/>
      <c r="AG608" s="30"/>
      <c r="AH608" s="30"/>
      <c r="AI608" s="30"/>
      <c r="AJ608" s="30"/>
      <c r="AK608" s="30"/>
      <c r="AL608" s="30"/>
    </row>
    <row r="609" spans="1:39" ht="45" customHeight="1" x14ac:dyDescent="0.25">
      <c r="A609" s="3" t="s">
        <v>216</v>
      </c>
      <c r="B609" s="49" t="s">
        <v>219</v>
      </c>
      <c r="C609" s="13" t="s">
        <v>183</v>
      </c>
      <c r="D609" s="13">
        <v>3</v>
      </c>
      <c r="E609" s="13">
        <v>11</v>
      </c>
      <c r="F609" s="13">
        <v>921</v>
      </c>
      <c r="G609" s="13" t="s">
        <v>220</v>
      </c>
      <c r="H609" s="14"/>
      <c r="I609" s="15">
        <f t="shared" ref="I609:AD611" si="121">I610</f>
        <v>841320</v>
      </c>
      <c r="J609" s="15"/>
      <c r="K609" s="15"/>
      <c r="L609" s="15">
        <f t="shared" si="121"/>
        <v>-7695</v>
      </c>
      <c r="M609" s="15"/>
      <c r="N609" s="15"/>
      <c r="O609" s="15"/>
      <c r="P609" s="15"/>
      <c r="Q609" s="15"/>
      <c r="R609" s="15"/>
      <c r="S609" s="15"/>
      <c r="T609" s="15">
        <f t="shared" si="121"/>
        <v>833625</v>
      </c>
      <c r="U609" s="15"/>
      <c r="V609" s="15"/>
      <c r="W609" s="15"/>
      <c r="X609" s="15"/>
      <c r="Y609" s="15">
        <f t="shared" si="121"/>
        <v>841320</v>
      </c>
      <c r="Z609" s="15"/>
      <c r="AA609" s="15"/>
      <c r="AB609" s="15"/>
      <c r="AC609" s="15"/>
      <c r="AD609" s="15">
        <f t="shared" si="121"/>
        <v>841320</v>
      </c>
    </row>
    <row r="610" spans="1:39" ht="44.25" customHeight="1" x14ac:dyDescent="0.25">
      <c r="A610" s="5" t="s">
        <v>34</v>
      </c>
      <c r="B610" s="5" t="s">
        <v>34</v>
      </c>
      <c r="C610" s="11" t="s">
        <v>183</v>
      </c>
      <c r="D610" s="11">
        <v>3</v>
      </c>
      <c r="E610" s="11">
        <v>11</v>
      </c>
      <c r="F610" s="11">
        <v>921</v>
      </c>
      <c r="G610" s="11" t="s">
        <v>220</v>
      </c>
      <c r="H610" s="21" t="s">
        <v>35</v>
      </c>
      <c r="I610" s="20">
        <f t="shared" si="121"/>
        <v>841320</v>
      </c>
      <c r="J610" s="20"/>
      <c r="K610" s="20"/>
      <c r="L610" s="20">
        <f t="shared" si="121"/>
        <v>-7695</v>
      </c>
      <c r="M610" s="20"/>
      <c r="N610" s="20"/>
      <c r="O610" s="20"/>
      <c r="P610" s="20"/>
      <c r="Q610" s="20"/>
      <c r="R610" s="20"/>
      <c r="S610" s="20"/>
      <c r="T610" s="20">
        <f t="shared" si="121"/>
        <v>833625</v>
      </c>
      <c r="U610" s="20"/>
      <c r="V610" s="20"/>
      <c r="W610" s="20"/>
      <c r="X610" s="20"/>
      <c r="Y610" s="20">
        <f t="shared" si="121"/>
        <v>841320</v>
      </c>
      <c r="Z610" s="20"/>
      <c r="AA610" s="20"/>
      <c r="AB610" s="20"/>
      <c r="AC610" s="20"/>
      <c r="AD610" s="20">
        <f t="shared" si="121"/>
        <v>841320</v>
      </c>
    </row>
    <row r="611" spans="1:39" x14ac:dyDescent="0.25">
      <c r="A611" s="5" t="s">
        <v>36</v>
      </c>
      <c r="B611" s="5" t="s">
        <v>36</v>
      </c>
      <c r="C611" s="11" t="s">
        <v>183</v>
      </c>
      <c r="D611" s="11">
        <v>3</v>
      </c>
      <c r="E611" s="11">
        <v>11</v>
      </c>
      <c r="F611" s="11">
        <v>921</v>
      </c>
      <c r="G611" s="11" t="s">
        <v>220</v>
      </c>
      <c r="H611" s="21">
        <v>610</v>
      </c>
      <c r="I611" s="20">
        <f t="shared" si="121"/>
        <v>841320</v>
      </c>
      <c r="J611" s="20"/>
      <c r="K611" s="20"/>
      <c r="L611" s="20">
        <f t="shared" si="121"/>
        <v>-7695</v>
      </c>
      <c r="M611" s="20"/>
      <c r="N611" s="20"/>
      <c r="O611" s="20"/>
      <c r="P611" s="20"/>
      <c r="Q611" s="20"/>
      <c r="R611" s="20"/>
      <c r="S611" s="20"/>
      <c r="T611" s="20">
        <f t="shared" si="121"/>
        <v>833625</v>
      </c>
      <c r="U611" s="20"/>
      <c r="V611" s="20"/>
      <c r="W611" s="20"/>
      <c r="X611" s="20"/>
      <c r="Y611" s="20">
        <f t="shared" si="121"/>
        <v>841320</v>
      </c>
      <c r="Z611" s="20"/>
      <c r="AA611" s="20"/>
      <c r="AB611" s="20"/>
      <c r="AC611" s="20"/>
      <c r="AD611" s="20">
        <f t="shared" si="121"/>
        <v>841320</v>
      </c>
    </row>
    <row r="612" spans="1:39" s="44" customFormat="1" x14ac:dyDescent="0.25">
      <c r="A612" s="5" t="s">
        <v>108</v>
      </c>
      <c r="B612" s="5" t="s">
        <v>108</v>
      </c>
      <c r="C612" s="11" t="s">
        <v>183</v>
      </c>
      <c r="D612" s="11">
        <v>3</v>
      </c>
      <c r="E612" s="11">
        <v>11</v>
      </c>
      <c r="F612" s="11">
        <v>921</v>
      </c>
      <c r="G612" s="11" t="s">
        <v>220</v>
      </c>
      <c r="H612" s="21">
        <v>612</v>
      </c>
      <c r="I612" s="20">
        <v>841320</v>
      </c>
      <c r="J612" s="20"/>
      <c r="K612" s="20"/>
      <c r="L612" s="20">
        <v>-7695</v>
      </c>
      <c r="M612" s="20"/>
      <c r="N612" s="20"/>
      <c r="O612" s="20"/>
      <c r="P612" s="20"/>
      <c r="Q612" s="20"/>
      <c r="R612" s="20"/>
      <c r="S612" s="20"/>
      <c r="T612" s="20">
        <f>841320+L612</f>
        <v>833625</v>
      </c>
      <c r="U612" s="20"/>
      <c r="V612" s="20"/>
      <c r="W612" s="20"/>
      <c r="X612" s="20"/>
      <c r="Y612" s="20">
        <v>841320</v>
      </c>
      <c r="Z612" s="20"/>
      <c r="AA612" s="20"/>
      <c r="AB612" s="20"/>
      <c r="AC612" s="20"/>
      <c r="AD612" s="20">
        <v>841320</v>
      </c>
      <c r="AF612" s="30"/>
      <c r="AG612" s="30"/>
      <c r="AH612" s="30"/>
      <c r="AI612" s="30"/>
      <c r="AJ612" s="30"/>
      <c r="AK612" s="30"/>
      <c r="AL612" s="30"/>
    </row>
    <row r="613" spans="1:39" ht="21" hidden="1" x14ac:dyDescent="0.25">
      <c r="A613" s="3" t="s">
        <v>221</v>
      </c>
      <c r="B613" s="3" t="s">
        <v>221</v>
      </c>
      <c r="C613" s="13" t="s">
        <v>183</v>
      </c>
      <c r="D613" s="13">
        <v>3</v>
      </c>
      <c r="E613" s="13">
        <v>11</v>
      </c>
      <c r="F613" s="13">
        <v>921</v>
      </c>
      <c r="G613" s="13">
        <v>14820</v>
      </c>
      <c r="H613" s="14"/>
      <c r="I613" s="15">
        <f t="shared" ref="I613:AD615" si="122">I614</f>
        <v>0</v>
      </c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>
        <f t="shared" si="122"/>
        <v>0</v>
      </c>
      <c r="U613" s="15"/>
      <c r="V613" s="15"/>
      <c r="W613" s="15"/>
      <c r="X613" s="15"/>
      <c r="Y613" s="15">
        <f t="shared" si="122"/>
        <v>0</v>
      </c>
      <c r="Z613" s="15"/>
      <c r="AA613" s="15"/>
      <c r="AB613" s="15"/>
      <c r="AC613" s="15"/>
      <c r="AD613" s="15">
        <f t="shared" si="122"/>
        <v>0</v>
      </c>
    </row>
    <row r="614" spans="1:39" ht="45" hidden="1" x14ac:dyDescent="0.25">
      <c r="A614" s="5" t="s">
        <v>34</v>
      </c>
      <c r="B614" s="5" t="s">
        <v>34</v>
      </c>
      <c r="C614" s="11" t="s">
        <v>183</v>
      </c>
      <c r="D614" s="11">
        <v>3</v>
      </c>
      <c r="E614" s="11">
        <v>11</v>
      </c>
      <c r="F614" s="11">
        <v>921</v>
      </c>
      <c r="G614" s="11">
        <v>14820</v>
      </c>
      <c r="H614" s="21" t="s">
        <v>35</v>
      </c>
      <c r="I614" s="20">
        <f t="shared" si="122"/>
        <v>0</v>
      </c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>
        <f t="shared" si="122"/>
        <v>0</v>
      </c>
      <c r="U614" s="20"/>
      <c r="V614" s="20"/>
      <c r="W614" s="20"/>
      <c r="X614" s="20"/>
      <c r="Y614" s="20">
        <f t="shared" si="122"/>
        <v>0</v>
      </c>
      <c r="Z614" s="20"/>
      <c r="AA614" s="20"/>
      <c r="AB614" s="20"/>
      <c r="AC614" s="20"/>
      <c r="AD614" s="20">
        <f t="shared" si="122"/>
        <v>0</v>
      </c>
    </row>
    <row r="615" spans="1:39" hidden="1" x14ac:dyDescent="0.25">
      <c r="A615" s="5" t="s">
        <v>36</v>
      </c>
      <c r="B615" s="5" t="s">
        <v>36</v>
      </c>
      <c r="C615" s="11" t="s">
        <v>183</v>
      </c>
      <c r="D615" s="11">
        <v>3</v>
      </c>
      <c r="E615" s="11">
        <v>11</v>
      </c>
      <c r="F615" s="11">
        <v>921</v>
      </c>
      <c r="G615" s="11">
        <v>14820</v>
      </c>
      <c r="H615" s="21">
        <v>610</v>
      </c>
      <c r="I615" s="20">
        <f t="shared" si="122"/>
        <v>0</v>
      </c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>
        <f t="shared" si="122"/>
        <v>0</v>
      </c>
      <c r="U615" s="20"/>
      <c r="V615" s="20"/>
      <c r="W615" s="20"/>
      <c r="X615" s="20"/>
      <c r="Y615" s="20">
        <f t="shared" si="122"/>
        <v>0</v>
      </c>
      <c r="Z615" s="20"/>
      <c r="AA615" s="20"/>
      <c r="AB615" s="20"/>
      <c r="AC615" s="20"/>
      <c r="AD615" s="20">
        <f t="shared" si="122"/>
        <v>0</v>
      </c>
    </row>
    <row r="616" spans="1:39" s="44" customFormat="1" ht="22.5" hidden="1" x14ac:dyDescent="0.25">
      <c r="A616" s="5" t="s">
        <v>108</v>
      </c>
      <c r="B616" s="5" t="s">
        <v>108</v>
      </c>
      <c r="C616" s="11" t="s">
        <v>183</v>
      </c>
      <c r="D616" s="11">
        <v>3</v>
      </c>
      <c r="E616" s="11">
        <v>11</v>
      </c>
      <c r="F616" s="11">
        <v>921</v>
      </c>
      <c r="G616" s="11">
        <v>14820</v>
      </c>
      <c r="H616" s="21">
        <v>612</v>
      </c>
      <c r="I616" s="20">
        <v>0</v>
      </c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>
        <v>0</v>
      </c>
      <c r="U616" s="20"/>
      <c r="V616" s="20"/>
      <c r="W616" s="20"/>
      <c r="X616" s="20"/>
      <c r="Y616" s="20">
        <v>0</v>
      </c>
      <c r="Z616" s="20"/>
      <c r="AA616" s="20"/>
      <c r="AB616" s="20"/>
      <c r="AC616" s="20"/>
      <c r="AD616" s="20">
        <v>0</v>
      </c>
      <c r="AF616" s="30"/>
      <c r="AG616" s="30"/>
      <c r="AH616" s="30"/>
      <c r="AI616" s="30"/>
      <c r="AJ616" s="30"/>
      <c r="AK616" s="30"/>
      <c r="AL616" s="30"/>
    </row>
    <row r="617" spans="1:39" ht="31.5" hidden="1" x14ac:dyDescent="0.25">
      <c r="A617" s="3" t="s">
        <v>221</v>
      </c>
      <c r="B617" s="49" t="s">
        <v>222</v>
      </c>
      <c r="C617" s="13" t="s">
        <v>183</v>
      </c>
      <c r="D617" s="13">
        <v>3</v>
      </c>
      <c r="E617" s="13">
        <v>11</v>
      </c>
      <c r="F617" s="13">
        <v>921</v>
      </c>
      <c r="G617" s="13" t="s">
        <v>223</v>
      </c>
      <c r="H617" s="14"/>
      <c r="I617" s="15">
        <f t="shared" ref="I617:AD619" si="123">I618</f>
        <v>0</v>
      </c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>
        <f t="shared" si="123"/>
        <v>0</v>
      </c>
      <c r="U617" s="15"/>
      <c r="V617" s="15"/>
      <c r="W617" s="15"/>
      <c r="X617" s="15"/>
      <c r="Y617" s="15">
        <f t="shared" si="123"/>
        <v>0</v>
      </c>
      <c r="Z617" s="15"/>
      <c r="AA617" s="15"/>
      <c r="AB617" s="15"/>
      <c r="AC617" s="15"/>
      <c r="AD617" s="15">
        <f t="shared" si="123"/>
        <v>0</v>
      </c>
    </row>
    <row r="618" spans="1:39" ht="45" hidden="1" x14ac:dyDescent="0.25">
      <c r="A618" s="5" t="s">
        <v>34</v>
      </c>
      <c r="B618" s="5" t="s">
        <v>34</v>
      </c>
      <c r="C618" s="11" t="s">
        <v>183</v>
      </c>
      <c r="D618" s="11">
        <v>3</v>
      </c>
      <c r="E618" s="11">
        <v>11</v>
      </c>
      <c r="F618" s="11">
        <v>921</v>
      </c>
      <c r="G618" s="11" t="s">
        <v>223</v>
      </c>
      <c r="H618" s="21" t="s">
        <v>35</v>
      </c>
      <c r="I618" s="20">
        <f t="shared" si="123"/>
        <v>0</v>
      </c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>
        <f t="shared" si="123"/>
        <v>0</v>
      </c>
      <c r="U618" s="20"/>
      <c r="V618" s="20"/>
      <c r="W618" s="20"/>
      <c r="X618" s="20"/>
      <c r="Y618" s="20">
        <f t="shared" si="123"/>
        <v>0</v>
      </c>
      <c r="Z618" s="20"/>
      <c r="AA618" s="20"/>
      <c r="AB618" s="20"/>
      <c r="AC618" s="20"/>
      <c r="AD618" s="20">
        <f t="shared" si="123"/>
        <v>0</v>
      </c>
    </row>
    <row r="619" spans="1:39" hidden="1" x14ac:dyDescent="0.25">
      <c r="A619" s="5" t="s">
        <v>36</v>
      </c>
      <c r="B619" s="5" t="s">
        <v>36</v>
      </c>
      <c r="C619" s="11" t="s">
        <v>183</v>
      </c>
      <c r="D619" s="11">
        <v>3</v>
      </c>
      <c r="E619" s="11">
        <v>11</v>
      </c>
      <c r="F619" s="11">
        <v>921</v>
      </c>
      <c r="G619" s="11" t="s">
        <v>223</v>
      </c>
      <c r="H619" s="21">
        <v>610</v>
      </c>
      <c r="I619" s="20">
        <f t="shared" si="123"/>
        <v>0</v>
      </c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>
        <f t="shared" si="123"/>
        <v>0</v>
      </c>
      <c r="U619" s="20"/>
      <c r="V619" s="20"/>
      <c r="W619" s="20"/>
      <c r="X619" s="20"/>
      <c r="Y619" s="20">
        <f t="shared" si="123"/>
        <v>0</v>
      </c>
      <c r="Z619" s="20"/>
      <c r="AA619" s="20"/>
      <c r="AB619" s="20"/>
      <c r="AC619" s="20"/>
      <c r="AD619" s="20">
        <f t="shared" si="123"/>
        <v>0</v>
      </c>
    </row>
    <row r="620" spans="1:39" s="44" customFormat="1" ht="22.5" hidden="1" x14ac:dyDescent="0.25">
      <c r="A620" s="5" t="s">
        <v>108</v>
      </c>
      <c r="B620" s="5" t="s">
        <v>108</v>
      </c>
      <c r="C620" s="11" t="s">
        <v>183</v>
      </c>
      <c r="D620" s="11">
        <v>3</v>
      </c>
      <c r="E620" s="11">
        <v>11</v>
      </c>
      <c r="F620" s="11">
        <v>921</v>
      </c>
      <c r="G620" s="11" t="s">
        <v>223</v>
      </c>
      <c r="H620" s="21">
        <v>612</v>
      </c>
      <c r="I620" s="20">
        <v>0</v>
      </c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>
        <v>0</v>
      </c>
      <c r="U620" s="20"/>
      <c r="V620" s="20"/>
      <c r="W620" s="20"/>
      <c r="X620" s="20"/>
      <c r="Y620" s="20">
        <v>0</v>
      </c>
      <c r="Z620" s="20"/>
      <c r="AA620" s="20"/>
      <c r="AB620" s="20"/>
      <c r="AC620" s="20"/>
      <c r="AD620" s="20">
        <v>0</v>
      </c>
      <c r="AF620" s="30"/>
      <c r="AG620" s="30"/>
      <c r="AH620" s="30"/>
      <c r="AI620" s="30"/>
      <c r="AJ620" s="30"/>
      <c r="AK620" s="30"/>
      <c r="AL620" s="30"/>
    </row>
    <row r="621" spans="1:39" s="44" customFormat="1" ht="21" x14ac:dyDescent="0.25">
      <c r="A621" s="3"/>
      <c r="B621" s="3" t="s">
        <v>224</v>
      </c>
      <c r="C621" s="13" t="s">
        <v>183</v>
      </c>
      <c r="D621" s="13">
        <v>3</v>
      </c>
      <c r="E621" s="13">
        <v>11</v>
      </c>
      <c r="F621" s="13">
        <v>921</v>
      </c>
      <c r="G621" s="13" t="s">
        <v>225</v>
      </c>
      <c r="H621" s="14"/>
      <c r="I621" s="15">
        <f t="shared" ref="I621:AD627" si="124">I622</f>
        <v>4250000</v>
      </c>
      <c r="J621" s="15"/>
      <c r="K621" s="15"/>
      <c r="L621" s="15"/>
      <c r="M621" s="15"/>
      <c r="N621" s="15"/>
      <c r="O621" s="15">
        <f t="shared" si="124"/>
        <v>0</v>
      </c>
      <c r="P621" s="15"/>
      <c r="Q621" s="15"/>
      <c r="R621" s="15"/>
      <c r="S621" s="15"/>
      <c r="T621" s="15">
        <f t="shared" si="124"/>
        <v>4250000</v>
      </c>
      <c r="U621" s="15"/>
      <c r="V621" s="15"/>
      <c r="W621" s="15"/>
      <c r="X621" s="15"/>
      <c r="Y621" s="15">
        <f t="shared" si="124"/>
        <v>7814408.5800000001</v>
      </c>
      <c r="Z621" s="15"/>
      <c r="AA621" s="15"/>
      <c r="AB621" s="15"/>
      <c r="AC621" s="15"/>
      <c r="AD621" s="15">
        <f t="shared" si="124"/>
        <v>0</v>
      </c>
      <c r="AF621" s="30"/>
      <c r="AG621" s="30"/>
      <c r="AH621" s="30"/>
      <c r="AI621" s="30"/>
      <c r="AJ621" s="30"/>
      <c r="AK621" s="30"/>
      <c r="AL621" s="30"/>
    </row>
    <row r="622" spans="1:39" s="44" customFormat="1" ht="22.5" x14ac:dyDescent="0.25">
      <c r="A622" s="5"/>
      <c r="B622" s="5" t="s">
        <v>34</v>
      </c>
      <c r="C622" s="11" t="s">
        <v>183</v>
      </c>
      <c r="D622" s="11">
        <v>3</v>
      </c>
      <c r="E622" s="11">
        <v>11</v>
      </c>
      <c r="F622" s="11">
        <v>921</v>
      </c>
      <c r="G622" s="11" t="s">
        <v>225</v>
      </c>
      <c r="H622" s="21" t="s">
        <v>35</v>
      </c>
      <c r="I622" s="20">
        <f t="shared" si="124"/>
        <v>4250000</v>
      </c>
      <c r="J622" s="20"/>
      <c r="K622" s="20"/>
      <c r="L622" s="20"/>
      <c r="M622" s="20"/>
      <c r="N622" s="20"/>
      <c r="O622" s="20">
        <f t="shared" si="124"/>
        <v>0</v>
      </c>
      <c r="P622" s="20"/>
      <c r="Q622" s="20"/>
      <c r="R622" s="20"/>
      <c r="S622" s="20"/>
      <c r="T622" s="20">
        <f t="shared" si="124"/>
        <v>4250000</v>
      </c>
      <c r="U622" s="20"/>
      <c r="V622" s="20"/>
      <c r="W622" s="20"/>
      <c r="X622" s="20"/>
      <c r="Y622" s="20">
        <f t="shared" si="124"/>
        <v>7814408.5800000001</v>
      </c>
      <c r="Z622" s="20"/>
      <c r="AA622" s="20"/>
      <c r="AB622" s="20"/>
      <c r="AC622" s="20"/>
      <c r="AD622" s="20">
        <f t="shared" si="124"/>
        <v>0</v>
      </c>
      <c r="AF622" s="30"/>
      <c r="AG622" s="30"/>
      <c r="AH622" s="30"/>
      <c r="AI622" s="30">
        <v>1780645.16</v>
      </c>
      <c r="AJ622" s="20">
        <v>1780645.16</v>
      </c>
      <c r="AK622" s="30"/>
      <c r="AL622" s="11" t="s">
        <v>225</v>
      </c>
      <c r="AM622" s="44">
        <v>612</v>
      </c>
    </row>
    <row r="623" spans="1:39" s="44" customFormat="1" x14ac:dyDescent="0.25">
      <c r="A623" s="5"/>
      <c r="B623" s="5" t="s">
        <v>36</v>
      </c>
      <c r="C623" s="11" t="s">
        <v>183</v>
      </c>
      <c r="D623" s="11">
        <v>3</v>
      </c>
      <c r="E623" s="11">
        <v>11</v>
      </c>
      <c r="F623" s="11">
        <v>921</v>
      </c>
      <c r="G623" s="11" t="s">
        <v>225</v>
      </c>
      <c r="H623" s="21">
        <v>610</v>
      </c>
      <c r="I623" s="20">
        <f t="shared" si="124"/>
        <v>4250000</v>
      </c>
      <c r="J623" s="20"/>
      <c r="K623" s="20"/>
      <c r="L623" s="20"/>
      <c r="M623" s="20"/>
      <c r="N623" s="20"/>
      <c r="O623" s="20">
        <f t="shared" si="124"/>
        <v>0</v>
      </c>
      <c r="P623" s="20"/>
      <c r="Q623" s="20"/>
      <c r="R623" s="20"/>
      <c r="S623" s="20"/>
      <c r="T623" s="20">
        <f t="shared" si="124"/>
        <v>4250000</v>
      </c>
      <c r="U623" s="20"/>
      <c r="V623" s="20"/>
      <c r="W623" s="20"/>
      <c r="X623" s="20"/>
      <c r="Y623" s="20">
        <f t="shared" si="124"/>
        <v>7814408.5800000001</v>
      </c>
      <c r="Z623" s="20"/>
      <c r="AA623" s="20"/>
      <c r="AB623" s="20"/>
      <c r="AC623" s="20"/>
      <c r="AD623" s="20">
        <f t="shared" si="124"/>
        <v>0</v>
      </c>
      <c r="AF623" s="30"/>
      <c r="AG623" s="30"/>
      <c r="AH623" s="30"/>
      <c r="AI623" s="30"/>
      <c r="AJ623" s="30">
        <v>1256344.06</v>
      </c>
      <c r="AK623" s="30"/>
      <c r="AL623" s="30"/>
      <c r="AM623" s="44">
        <v>612</v>
      </c>
    </row>
    <row r="624" spans="1:39" s="44" customFormat="1" x14ac:dyDescent="0.25">
      <c r="A624" s="5"/>
      <c r="B624" s="5" t="s">
        <v>108</v>
      </c>
      <c r="C624" s="11" t="s">
        <v>183</v>
      </c>
      <c r="D624" s="11">
        <v>3</v>
      </c>
      <c r="E624" s="11">
        <v>11</v>
      </c>
      <c r="F624" s="11">
        <v>921</v>
      </c>
      <c r="G624" s="11" t="s">
        <v>225</v>
      </c>
      <c r="H624" s="21">
        <v>612</v>
      </c>
      <c r="I624" s="20">
        <v>4250000</v>
      </c>
      <c r="J624" s="20"/>
      <c r="K624" s="20"/>
      <c r="L624" s="20"/>
      <c r="M624" s="20"/>
      <c r="N624" s="20"/>
      <c r="O624" s="20">
        <v>0</v>
      </c>
      <c r="P624" s="20"/>
      <c r="Q624" s="20"/>
      <c r="R624" s="20"/>
      <c r="S624" s="20"/>
      <c r="T624" s="20">
        <f>4250000+O624</f>
        <v>4250000</v>
      </c>
      <c r="U624" s="20"/>
      <c r="V624" s="20"/>
      <c r="W624" s="20"/>
      <c r="X624" s="20"/>
      <c r="Y624" s="20">
        <v>7814408.5800000001</v>
      </c>
      <c r="Z624" s="20"/>
      <c r="AA624" s="20"/>
      <c r="AB624" s="20"/>
      <c r="AC624" s="20"/>
      <c r="AD624" s="20"/>
      <c r="AF624" s="30"/>
      <c r="AG624" s="30"/>
      <c r="AH624" s="30"/>
      <c r="AI624" s="30"/>
      <c r="AJ624" s="30">
        <f>SUM(AJ622:AJ623)</f>
        <v>3036989.2199999997</v>
      </c>
      <c r="AK624" s="30"/>
      <c r="AL624" s="30"/>
    </row>
    <row r="625" spans="1:38" s="44" customFormat="1" ht="42" x14ac:dyDescent="0.25">
      <c r="A625" s="5"/>
      <c r="B625" s="3" t="s">
        <v>226</v>
      </c>
      <c r="C625" s="13" t="s">
        <v>183</v>
      </c>
      <c r="D625" s="13">
        <v>3</v>
      </c>
      <c r="E625" s="13">
        <v>11</v>
      </c>
      <c r="F625" s="13">
        <v>921</v>
      </c>
      <c r="G625" s="13" t="s">
        <v>227</v>
      </c>
      <c r="H625" s="14"/>
      <c r="I625" s="15">
        <f t="shared" si="124"/>
        <v>8511906.4499999993</v>
      </c>
      <c r="J625" s="15"/>
      <c r="K625" s="15"/>
      <c r="L625" s="15"/>
      <c r="M625" s="15"/>
      <c r="N625" s="15"/>
      <c r="O625" s="15">
        <f t="shared" si="124"/>
        <v>0</v>
      </c>
      <c r="P625" s="15"/>
      <c r="Q625" s="15"/>
      <c r="R625" s="15"/>
      <c r="S625" s="15"/>
      <c r="T625" s="15">
        <f t="shared" si="124"/>
        <v>8511906.4499999993</v>
      </c>
      <c r="U625" s="15"/>
      <c r="V625" s="15"/>
      <c r="W625" s="15"/>
      <c r="X625" s="15"/>
      <c r="Y625" s="15">
        <f t="shared" si="124"/>
        <v>8511906.4499999993</v>
      </c>
      <c r="Z625" s="15"/>
      <c r="AA625" s="15"/>
      <c r="AB625" s="15"/>
      <c r="AC625" s="15"/>
      <c r="AD625" s="15">
        <f t="shared" si="124"/>
        <v>9537591.4000000004</v>
      </c>
      <c r="AF625" s="30"/>
      <c r="AG625" s="30"/>
      <c r="AH625" s="30"/>
      <c r="AI625" s="30"/>
      <c r="AJ625" s="30"/>
      <c r="AK625" s="30"/>
      <c r="AL625" s="30"/>
    </row>
    <row r="626" spans="1:38" s="44" customFormat="1" ht="22.5" x14ac:dyDescent="0.25">
      <c r="A626" s="5"/>
      <c r="B626" s="5" t="s">
        <v>34</v>
      </c>
      <c r="C626" s="11" t="s">
        <v>183</v>
      </c>
      <c r="D626" s="11">
        <v>3</v>
      </c>
      <c r="E626" s="11">
        <v>11</v>
      </c>
      <c r="F626" s="11">
        <v>921</v>
      </c>
      <c r="G626" s="11" t="s">
        <v>227</v>
      </c>
      <c r="H626" s="21" t="s">
        <v>35</v>
      </c>
      <c r="I626" s="20">
        <f t="shared" si="124"/>
        <v>8511906.4499999993</v>
      </c>
      <c r="J626" s="20"/>
      <c r="K626" s="20"/>
      <c r="L626" s="20"/>
      <c r="M626" s="20"/>
      <c r="N626" s="20"/>
      <c r="O626" s="20">
        <f t="shared" si="124"/>
        <v>0</v>
      </c>
      <c r="P626" s="20"/>
      <c r="Q626" s="20"/>
      <c r="R626" s="20"/>
      <c r="S626" s="20"/>
      <c r="T626" s="20">
        <f t="shared" si="124"/>
        <v>8511906.4499999993</v>
      </c>
      <c r="U626" s="20"/>
      <c r="V626" s="20"/>
      <c r="W626" s="20"/>
      <c r="X626" s="20"/>
      <c r="Y626" s="20">
        <f t="shared" si="124"/>
        <v>8511906.4499999993</v>
      </c>
      <c r="Z626" s="20"/>
      <c r="AA626" s="20"/>
      <c r="AB626" s="20"/>
      <c r="AC626" s="20"/>
      <c r="AD626" s="20">
        <f t="shared" si="124"/>
        <v>9537591.4000000004</v>
      </c>
      <c r="AF626" s="30"/>
      <c r="AG626" s="30"/>
      <c r="AH626" s="30"/>
      <c r="AI626" s="30"/>
      <c r="AJ626" s="30"/>
      <c r="AK626" s="30"/>
      <c r="AL626" s="30"/>
    </row>
    <row r="627" spans="1:38" s="44" customFormat="1" x14ac:dyDescent="0.25">
      <c r="A627" s="5"/>
      <c r="B627" s="5" t="s">
        <v>36</v>
      </c>
      <c r="C627" s="11" t="s">
        <v>183</v>
      </c>
      <c r="D627" s="11">
        <v>3</v>
      </c>
      <c r="E627" s="11">
        <v>11</v>
      </c>
      <c r="F627" s="11">
        <v>921</v>
      </c>
      <c r="G627" s="11" t="s">
        <v>227</v>
      </c>
      <c r="H627" s="21">
        <v>610</v>
      </c>
      <c r="I627" s="20">
        <f t="shared" si="124"/>
        <v>8511906.4499999993</v>
      </c>
      <c r="J627" s="20"/>
      <c r="K627" s="20"/>
      <c r="L627" s="20"/>
      <c r="M627" s="20"/>
      <c r="N627" s="20"/>
      <c r="O627" s="20">
        <f t="shared" si="124"/>
        <v>0</v>
      </c>
      <c r="P627" s="20"/>
      <c r="Q627" s="20"/>
      <c r="R627" s="20"/>
      <c r="S627" s="20"/>
      <c r="T627" s="20">
        <f t="shared" si="124"/>
        <v>8511906.4499999993</v>
      </c>
      <c r="U627" s="20"/>
      <c r="V627" s="20"/>
      <c r="W627" s="20"/>
      <c r="X627" s="20"/>
      <c r="Y627" s="20">
        <f t="shared" si="124"/>
        <v>8511906.4499999993</v>
      </c>
      <c r="Z627" s="20"/>
      <c r="AA627" s="20"/>
      <c r="AB627" s="20"/>
      <c r="AC627" s="20"/>
      <c r="AD627" s="20">
        <f t="shared" si="124"/>
        <v>9537591.4000000004</v>
      </c>
      <c r="AF627" s="30"/>
      <c r="AG627" s="30"/>
      <c r="AH627" s="30"/>
      <c r="AI627" s="30"/>
      <c r="AJ627" s="30"/>
      <c r="AK627" s="30"/>
      <c r="AL627" s="30"/>
    </row>
    <row r="628" spans="1:38" s="44" customFormat="1" x14ac:dyDescent="0.25">
      <c r="A628" s="5"/>
      <c r="B628" s="5" t="s">
        <v>108</v>
      </c>
      <c r="C628" s="11" t="s">
        <v>183</v>
      </c>
      <c r="D628" s="11">
        <v>3</v>
      </c>
      <c r="E628" s="11">
        <v>11</v>
      </c>
      <c r="F628" s="11">
        <v>921</v>
      </c>
      <c r="G628" s="11" t="s">
        <v>227</v>
      </c>
      <c r="H628" s="21">
        <v>612</v>
      </c>
      <c r="I628" s="20">
        <v>8511906.4499999993</v>
      </c>
      <c r="J628" s="20"/>
      <c r="K628" s="20"/>
      <c r="L628" s="20"/>
      <c r="M628" s="20"/>
      <c r="N628" s="20"/>
      <c r="O628" s="20">
        <v>0</v>
      </c>
      <c r="P628" s="20"/>
      <c r="Q628" s="20"/>
      <c r="R628" s="20"/>
      <c r="S628" s="20"/>
      <c r="T628" s="20">
        <f>8511906.45+O628</f>
        <v>8511906.4499999993</v>
      </c>
      <c r="U628" s="20"/>
      <c r="V628" s="20"/>
      <c r="W628" s="20"/>
      <c r="X628" s="20"/>
      <c r="Y628" s="20">
        <v>8511906.4499999993</v>
      </c>
      <c r="Z628" s="20"/>
      <c r="AA628" s="20"/>
      <c r="AB628" s="20"/>
      <c r="AC628" s="20"/>
      <c r="AD628" s="20">
        <v>9537591.4000000004</v>
      </c>
      <c r="AF628" s="30"/>
      <c r="AG628" s="30"/>
      <c r="AH628" s="30"/>
      <c r="AI628" s="30"/>
      <c r="AJ628" s="30"/>
      <c r="AK628" s="30"/>
      <c r="AL628" s="30"/>
    </row>
    <row r="629" spans="1:38" s="44" customFormat="1" ht="31.5" x14ac:dyDescent="0.25">
      <c r="A629" s="5"/>
      <c r="B629" s="3" t="s">
        <v>332</v>
      </c>
      <c r="C629" s="13" t="s">
        <v>183</v>
      </c>
      <c r="D629" s="13">
        <v>3</v>
      </c>
      <c r="E629" s="13">
        <v>11</v>
      </c>
      <c r="F629" s="13">
        <v>921</v>
      </c>
      <c r="G629" s="13" t="s">
        <v>333</v>
      </c>
      <c r="H629" s="14"/>
      <c r="I629" s="15">
        <f>I630</f>
        <v>0</v>
      </c>
      <c r="J629" s="15"/>
      <c r="K629" s="15">
        <f t="shared" ref="K629:T631" si="125">K630</f>
        <v>54271212.759999998</v>
      </c>
      <c r="L629" s="15">
        <f t="shared" si="125"/>
        <v>-1091.51</v>
      </c>
      <c r="M629" s="15"/>
      <c r="N629" s="15"/>
      <c r="O629" s="15"/>
      <c r="P629" s="15"/>
      <c r="Q629" s="15"/>
      <c r="R629" s="15"/>
      <c r="S629" s="15"/>
      <c r="T629" s="15">
        <f t="shared" si="125"/>
        <v>54270121.25</v>
      </c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F629" s="30"/>
      <c r="AG629" s="30"/>
      <c r="AH629" s="30"/>
      <c r="AI629" s="30"/>
      <c r="AJ629" s="30"/>
      <c r="AK629" s="30"/>
      <c r="AL629" s="30"/>
    </row>
    <row r="630" spans="1:38" s="44" customFormat="1" ht="22.5" x14ac:dyDescent="0.25">
      <c r="A630" s="5"/>
      <c r="B630" s="5" t="s">
        <v>34</v>
      </c>
      <c r="C630" s="11" t="s">
        <v>183</v>
      </c>
      <c r="D630" s="11">
        <v>3</v>
      </c>
      <c r="E630" s="11">
        <v>11</v>
      </c>
      <c r="F630" s="11">
        <v>921</v>
      </c>
      <c r="G630" s="11" t="s">
        <v>333</v>
      </c>
      <c r="H630" s="21" t="s">
        <v>35</v>
      </c>
      <c r="I630" s="15">
        <f>I631</f>
        <v>0</v>
      </c>
      <c r="J630" s="20"/>
      <c r="K630" s="20">
        <f t="shared" si="125"/>
        <v>54271212.759999998</v>
      </c>
      <c r="L630" s="20">
        <f t="shared" si="125"/>
        <v>-1091.51</v>
      </c>
      <c r="M630" s="20"/>
      <c r="N630" s="20"/>
      <c r="O630" s="20"/>
      <c r="P630" s="20"/>
      <c r="Q630" s="20"/>
      <c r="R630" s="20"/>
      <c r="S630" s="20"/>
      <c r="T630" s="20">
        <f t="shared" si="125"/>
        <v>54270121.25</v>
      </c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F630" s="30"/>
      <c r="AG630" s="30"/>
      <c r="AH630" s="30"/>
      <c r="AI630" s="30"/>
      <c r="AJ630" s="30"/>
      <c r="AK630" s="30"/>
      <c r="AL630" s="30"/>
    </row>
    <row r="631" spans="1:38" s="44" customFormat="1" x14ac:dyDescent="0.25">
      <c r="A631" s="5"/>
      <c r="B631" s="5" t="s">
        <v>36</v>
      </c>
      <c r="C631" s="11" t="s">
        <v>183</v>
      </c>
      <c r="D631" s="11">
        <v>3</v>
      </c>
      <c r="E631" s="11">
        <v>11</v>
      </c>
      <c r="F631" s="11">
        <v>921</v>
      </c>
      <c r="G631" s="11" t="s">
        <v>333</v>
      </c>
      <c r="H631" s="21">
        <v>610</v>
      </c>
      <c r="I631" s="15">
        <f>I632</f>
        <v>0</v>
      </c>
      <c r="J631" s="20"/>
      <c r="K631" s="20">
        <f t="shared" si="125"/>
        <v>54271212.759999998</v>
      </c>
      <c r="L631" s="20">
        <f t="shared" si="125"/>
        <v>-1091.51</v>
      </c>
      <c r="M631" s="20"/>
      <c r="N631" s="20"/>
      <c r="O631" s="20"/>
      <c r="P631" s="20"/>
      <c r="Q631" s="20"/>
      <c r="R631" s="20"/>
      <c r="S631" s="20"/>
      <c r="T631" s="20">
        <f t="shared" si="125"/>
        <v>54270121.25</v>
      </c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F631" s="30"/>
      <c r="AG631" s="30"/>
      <c r="AH631" s="30"/>
      <c r="AI631" s="30"/>
      <c r="AJ631" s="30"/>
      <c r="AK631" s="30"/>
      <c r="AL631" s="30"/>
    </row>
    <row r="632" spans="1:38" s="44" customFormat="1" x14ac:dyDescent="0.25">
      <c r="A632" s="5"/>
      <c r="B632" s="5" t="s">
        <v>108</v>
      </c>
      <c r="C632" s="11" t="s">
        <v>183</v>
      </c>
      <c r="D632" s="11">
        <v>3</v>
      </c>
      <c r="E632" s="11">
        <v>11</v>
      </c>
      <c r="F632" s="11">
        <v>921</v>
      </c>
      <c r="G632" s="11" t="s">
        <v>333</v>
      </c>
      <c r="H632" s="21">
        <v>612</v>
      </c>
      <c r="I632" s="15">
        <v>0</v>
      </c>
      <c r="J632" s="20"/>
      <c r="K632" s="20">
        <v>54271212.759999998</v>
      </c>
      <c r="L632" s="20">
        <v>-1091.51</v>
      </c>
      <c r="M632" s="20"/>
      <c r="N632" s="20"/>
      <c r="O632" s="20"/>
      <c r="P632" s="20"/>
      <c r="Q632" s="20"/>
      <c r="R632" s="20"/>
      <c r="S632" s="20"/>
      <c r="T632" s="20">
        <f>K632+L632</f>
        <v>54270121.25</v>
      </c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F632" s="30"/>
      <c r="AG632" s="30"/>
      <c r="AH632" s="30"/>
      <c r="AI632" s="30"/>
      <c r="AJ632" s="30"/>
      <c r="AK632" s="30"/>
      <c r="AL632" s="30"/>
    </row>
    <row r="633" spans="1:38" s="44" customFormat="1" ht="42" x14ac:dyDescent="0.25">
      <c r="A633" s="5"/>
      <c r="B633" s="3" t="s">
        <v>334</v>
      </c>
      <c r="C633" s="13" t="s">
        <v>183</v>
      </c>
      <c r="D633" s="13">
        <v>3</v>
      </c>
      <c r="E633" s="13">
        <v>11</v>
      </c>
      <c r="F633" s="13">
        <v>921</v>
      </c>
      <c r="G633" s="13" t="s">
        <v>335</v>
      </c>
      <c r="H633" s="14"/>
      <c r="I633" s="15">
        <f t="shared" ref="I633:AD635" si="126">I634</f>
        <v>0</v>
      </c>
      <c r="J633" s="15"/>
      <c r="K633" s="15">
        <f t="shared" si="126"/>
        <v>224000</v>
      </c>
      <c r="L633" s="15">
        <f t="shared" si="126"/>
        <v>16860.22</v>
      </c>
      <c r="M633" s="15"/>
      <c r="N633" s="15"/>
      <c r="O633" s="15"/>
      <c r="P633" s="15"/>
      <c r="Q633" s="15"/>
      <c r="R633" s="15"/>
      <c r="S633" s="15"/>
      <c r="T633" s="15">
        <f t="shared" si="126"/>
        <v>240860.22</v>
      </c>
      <c r="U633" s="15"/>
      <c r="V633" s="15"/>
      <c r="W633" s="15"/>
      <c r="X633" s="15"/>
      <c r="Y633" s="15">
        <f t="shared" si="126"/>
        <v>2709677.42</v>
      </c>
      <c r="Z633" s="15"/>
      <c r="AA633" s="15"/>
      <c r="AB633" s="15"/>
      <c r="AC633" s="15"/>
      <c r="AD633" s="15">
        <f t="shared" si="126"/>
        <v>2709677.42</v>
      </c>
      <c r="AF633" s="30"/>
      <c r="AG633" s="30"/>
      <c r="AH633" s="30"/>
      <c r="AI633" s="30"/>
      <c r="AJ633" s="30"/>
      <c r="AK633" s="30"/>
      <c r="AL633" s="30"/>
    </row>
    <row r="634" spans="1:38" s="44" customFormat="1" ht="22.5" x14ac:dyDescent="0.25">
      <c r="A634" s="5"/>
      <c r="B634" s="5" t="s">
        <v>34</v>
      </c>
      <c r="C634" s="11" t="s">
        <v>183</v>
      </c>
      <c r="D634" s="11">
        <v>3</v>
      </c>
      <c r="E634" s="11">
        <v>11</v>
      </c>
      <c r="F634" s="11">
        <v>921</v>
      </c>
      <c r="G634" s="11" t="s">
        <v>335</v>
      </c>
      <c r="H634" s="21" t="s">
        <v>35</v>
      </c>
      <c r="I634" s="20">
        <f t="shared" si="126"/>
        <v>0</v>
      </c>
      <c r="J634" s="20"/>
      <c r="K634" s="20">
        <f t="shared" si="126"/>
        <v>224000</v>
      </c>
      <c r="L634" s="20">
        <f t="shared" si="126"/>
        <v>16860.22</v>
      </c>
      <c r="M634" s="20"/>
      <c r="N634" s="20"/>
      <c r="O634" s="20"/>
      <c r="P634" s="20"/>
      <c r="Q634" s="20"/>
      <c r="R634" s="20"/>
      <c r="S634" s="20"/>
      <c r="T634" s="20">
        <f t="shared" si="126"/>
        <v>240860.22</v>
      </c>
      <c r="U634" s="20"/>
      <c r="V634" s="20"/>
      <c r="W634" s="20"/>
      <c r="X634" s="20"/>
      <c r="Y634" s="20">
        <f t="shared" si="126"/>
        <v>2709677.42</v>
      </c>
      <c r="Z634" s="20"/>
      <c r="AA634" s="20"/>
      <c r="AB634" s="20"/>
      <c r="AC634" s="20"/>
      <c r="AD634" s="20">
        <f t="shared" si="126"/>
        <v>2709677.42</v>
      </c>
      <c r="AF634" s="30"/>
      <c r="AG634" s="30"/>
      <c r="AH634" s="30"/>
      <c r="AI634" s="30"/>
      <c r="AJ634" s="30"/>
      <c r="AK634" s="30"/>
      <c r="AL634" s="30"/>
    </row>
    <row r="635" spans="1:38" s="44" customFormat="1" x14ac:dyDescent="0.25">
      <c r="A635" s="5"/>
      <c r="B635" s="5" t="s">
        <v>36</v>
      </c>
      <c r="C635" s="11" t="s">
        <v>183</v>
      </c>
      <c r="D635" s="11">
        <v>3</v>
      </c>
      <c r="E635" s="11">
        <v>11</v>
      </c>
      <c r="F635" s="11">
        <v>921</v>
      </c>
      <c r="G635" s="11" t="s">
        <v>335</v>
      </c>
      <c r="H635" s="21">
        <v>610</v>
      </c>
      <c r="I635" s="20">
        <f t="shared" si="126"/>
        <v>0</v>
      </c>
      <c r="J635" s="20"/>
      <c r="K635" s="20">
        <f t="shared" si="126"/>
        <v>224000</v>
      </c>
      <c r="L635" s="20">
        <f t="shared" si="126"/>
        <v>16860.22</v>
      </c>
      <c r="M635" s="20"/>
      <c r="N635" s="20"/>
      <c r="O635" s="20"/>
      <c r="P635" s="20"/>
      <c r="Q635" s="20"/>
      <c r="R635" s="20"/>
      <c r="S635" s="20"/>
      <c r="T635" s="20">
        <f t="shared" si="126"/>
        <v>240860.22</v>
      </c>
      <c r="U635" s="20"/>
      <c r="V635" s="20"/>
      <c r="W635" s="20"/>
      <c r="X635" s="20"/>
      <c r="Y635" s="20">
        <f t="shared" si="126"/>
        <v>2709677.42</v>
      </c>
      <c r="Z635" s="20"/>
      <c r="AA635" s="20"/>
      <c r="AB635" s="20"/>
      <c r="AC635" s="20"/>
      <c r="AD635" s="20">
        <f t="shared" si="126"/>
        <v>2709677.42</v>
      </c>
      <c r="AF635" s="30"/>
      <c r="AG635" s="30"/>
      <c r="AH635" s="30"/>
      <c r="AI635" s="30"/>
      <c r="AJ635" s="30"/>
      <c r="AK635" s="30"/>
      <c r="AL635" s="30"/>
    </row>
    <row r="636" spans="1:38" s="44" customFormat="1" x14ac:dyDescent="0.25">
      <c r="A636" s="5"/>
      <c r="B636" s="5" t="s">
        <v>108</v>
      </c>
      <c r="C636" s="11" t="s">
        <v>183</v>
      </c>
      <c r="D636" s="11">
        <v>3</v>
      </c>
      <c r="E636" s="11">
        <v>11</v>
      </c>
      <c r="F636" s="11">
        <v>921</v>
      </c>
      <c r="G636" s="11" t="s">
        <v>335</v>
      </c>
      <c r="H636" s="21">
        <v>612</v>
      </c>
      <c r="I636" s="20">
        <v>0</v>
      </c>
      <c r="J636" s="20"/>
      <c r="K636" s="20">
        <v>224000</v>
      </c>
      <c r="L636" s="20">
        <v>16860.22</v>
      </c>
      <c r="M636" s="20"/>
      <c r="N636" s="20"/>
      <c r="O636" s="20"/>
      <c r="P636" s="20"/>
      <c r="Q636" s="20"/>
      <c r="R636" s="20"/>
      <c r="S636" s="20"/>
      <c r="T636" s="20">
        <f>K636+L636</f>
        <v>240860.22</v>
      </c>
      <c r="U636" s="20"/>
      <c r="V636" s="20">
        <v>2520000</v>
      </c>
      <c r="W636" s="20">
        <v>189677.42</v>
      </c>
      <c r="X636" s="20"/>
      <c r="Y636" s="20">
        <f>V636+W636</f>
        <v>2709677.42</v>
      </c>
      <c r="Z636" s="20"/>
      <c r="AA636" s="20">
        <v>2520000</v>
      </c>
      <c r="AB636" s="20">
        <v>189677.42</v>
      </c>
      <c r="AC636" s="20"/>
      <c r="AD636" s="20">
        <f>AA636+AB636</f>
        <v>2709677.42</v>
      </c>
      <c r="AF636" s="30"/>
      <c r="AG636" s="30"/>
      <c r="AH636" s="30"/>
      <c r="AI636" s="30"/>
      <c r="AJ636" s="30"/>
      <c r="AK636" s="30"/>
      <c r="AL636" s="30"/>
    </row>
    <row r="637" spans="1:38" s="44" customFormat="1" x14ac:dyDescent="0.25">
      <c r="A637" s="5"/>
      <c r="B637" s="5" t="s">
        <v>341</v>
      </c>
      <c r="C637" s="11" t="s">
        <v>183</v>
      </c>
      <c r="D637" s="11">
        <v>3</v>
      </c>
      <c r="E637" s="11">
        <v>11</v>
      </c>
      <c r="F637" s="11">
        <v>921</v>
      </c>
      <c r="G637" s="11" t="s">
        <v>342</v>
      </c>
      <c r="H637" s="21"/>
      <c r="I637" s="20"/>
      <c r="J637" s="20"/>
      <c r="K637" s="20"/>
      <c r="L637" s="20">
        <f t="shared" ref="L637:T639" si="127">L638</f>
        <v>86624.320000000007</v>
      </c>
      <c r="M637" s="20"/>
      <c r="N637" s="20"/>
      <c r="O637" s="20"/>
      <c r="P637" s="20"/>
      <c r="Q637" s="20"/>
      <c r="R637" s="20"/>
      <c r="S637" s="20"/>
      <c r="T637" s="20">
        <f t="shared" si="127"/>
        <v>86624.320000000007</v>
      </c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F637" s="30"/>
      <c r="AG637" s="30"/>
      <c r="AH637" s="30"/>
      <c r="AI637" s="30"/>
      <c r="AJ637" s="30"/>
      <c r="AK637" s="30"/>
      <c r="AL637" s="30"/>
    </row>
    <row r="638" spans="1:38" s="44" customFormat="1" ht="22.5" x14ac:dyDescent="0.25">
      <c r="A638" s="5"/>
      <c r="B638" s="5" t="s">
        <v>34</v>
      </c>
      <c r="C638" s="11" t="s">
        <v>183</v>
      </c>
      <c r="D638" s="11">
        <v>3</v>
      </c>
      <c r="E638" s="11">
        <v>11</v>
      </c>
      <c r="F638" s="11">
        <v>921</v>
      </c>
      <c r="G638" s="11" t="s">
        <v>342</v>
      </c>
      <c r="H638" s="21">
        <v>600</v>
      </c>
      <c r="I638" s="20"/>
      <c r="J638" s="20"/>
      <c r="K638" s="20"/>
      <c r="L638" s="20">
        <f t="shared" si="127"/>
        <v>86624.320000000007</v>
      </c>
      <c r="M638" s="20"/>
      <c r="N638" s="20"/>
      <c r="O638" s="20"/>
      <c r="P638" s="20"/>
      <c r="Q638" s="20"/>
      <c r="R638" s="20"/>
      <c r="S638" s="20"/>
      <c r="T638" s="20">
        <f t="shared" si="127"/>
        <v>86624.320000000007</v>
      </c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F638" s="30"/>
      <c r="AG638" s="30"/>
      <c r="AH638" s="30"/>
      <c r="AI638" s="30"/>
      <c r="AJ638" s="30"/>
      <c r="AK638" s="30"/>
      <c r="AL638" s="30"/>
    </row>
    <row r="639" spans="1:38" s="44" customFormat="1" x14ac:dyDescent="0.25">
      <c r="A639" s="5"/>
      <c r="B639" s="5" t="s">
        <v>36</v>
      </c>
      <c r="C639" s="11" t="s">
        <v>183</v>
      </c>
      <c r="D639" s="11">
        <v>3</v>
      </c>
      <c r="E639" s="11">
        <v>11</v>
      </c>
      <c r="F639" s="11">
        <v>921</v>
      </c>
      <c r="G639" s="11" t="s">
        <v>342</v>
      </c>
      <c r="H639" s="21">
        <v>610</v>
      </c>
      <c r="I639" s="20"/>
      <c r="J639" s="20"/>
      <c r="K639" s="20"/>
      <c r="L639" s="20">
        <f t="shared" si="127"/>
        <v>86624.320000000007</v>
      </c>
      <c r="M639" s="20"/>
      <c r="N639" s="20"/>
      <c r="O639" s="20"/>
      <c r="P639" s="20"/>
      <c r="Q639" s="20"/>
      <c r="R639" s="20"/>
      <c r="S639" s="20"/>
      <c r="T639" s="20">
        <f t="shared" si="127"/>
        <v>86624.320000000007</v>
      </c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F639" s="30"/>
      <c r="AG639" s="30"/>
      <c r="AH639" s="30"/>
      <c r="AI639" s="30"/>
      <c r="AJ639" s="30"/>
      <c r="AK639" s="30"/>
      <c r="AL639" s="30"/>
    </row>
    <row r="640" spans="1:38" s="44" customFormat="1" x14ac:dyDescent="0.25">
      <c r="A640" s="5"/>
      <c r="B640" s="5" t="s">
        <v>108</v>
      </c>
      <c r="C640" s="11" t="s">
        <v>183</v>
      </c>
      <c r="D640" s="11">
        <v>3</v>
      </c>
      <c r="E640" s="11">
        <v>11</v>
      </c>
      <c r="F640" s="11">
        <v>921</v>
      </c>
      <c r="G640" s="11" t="s">
        <v>342</v>
      </c>
      <c r="H640" s="21">
        <v>612</v>
      </c>
      <c r="I640" s="20"/>
      <c r="J640" s="20"/>
      <c r="K640" s="20"/>
      <c r="L640" s="20">
        <v>86624.320000000007</v>
      </c>
      <c r="M640" s="20"/>
      <c r="N640" s="20"/>
      <c r="O640" s="20"/>
      <c r="P640" s="20"/>
      <c r="Q640" s="20"/>
      <c r="R640" s="20"/>
      <c r="S640" s="20"/>
      <c r="T640" s="20">
        <f>L640</f>
        <v>86624.320000000007</v>
      </c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F640" s="30"/>
      <c r="AG640" s="30"/>
      <c r="AH640" s="30"/>
      <c r="AI640" s="30"/>
      <c r="AJ640" s="30"/>
      <c r="AK640" s="30"/>
      <c r="AL640" s="30"/>
    </row>
    <row r="641" spans="1:38" ht="70.5" customHeight="1" x14ac:dyDescent="0.25">
      <c r="A641" s="3" t="s">
        <v>228</v>
      </c>
      <c r="B641" s="3" t="s">
        <v>229</v>
      </c>
      <c r="C641" s="13" t="s">
        <v>230</v>
      </c>
      <c r="D641" s="13"/>
      <c r="E641" s="13"/>
      <c r="F641" s="13"/>
      <c r="G641" s="13"/>
      <c r="H641" s="14"/>
      <c r="I641" s="15">
        <f>I643</f>
        <v>14697318.289999999</v>
      </c>
      <c r="J641" s="15"/>
      <c r="K641" s="15">
        <f>K643</f>
        <v>-880661.52</v>
      </c>
      <c r="L641" s="15">
        <f>L643</f>
        <v>-832719.22</v>
      </c>
      <c r="M641" s="15"/>
      <c r="N641" s="15"/>
      <c r="O641" s="15"/>
      <c r="P641" s="15">
        <f>P643</f>
        <v>-5000</v>
      </c>
      <c r="Q641" s="15"/>
      <c r="R641" s="15"/>
      <c r="S641" s="15"/>
      <c r="T641" s="15">
        <f>T643</f>
        <v>12978937.550000001</v>
      </c>
      <c r="U641" s="15"/>
      <c r="V641" s="15"/>
      <c r="W641" s="15"/>
      <c r="X641" s="15"/>
      <c r="Y641" s="15">
        <f>Y643</f>
        <v>14004130.970000001</v>
      </c>
      <c r="Z641" s="15"/>
      <c r="AA641" s="15"/>
      <c r="AB641" s="15"/>
      <c r="AC641" s="15"/>
      <c r="AD641" s="15">
        <f>AD643</f>
        <v>13659687.770000001</v>
      </c>
    </row>
    <row r="642" spans="1:38" ht="99.75" customHeight="1" x14ac:dyDescent="0.25">
      <c r="A642" s="3" t="s">
        <v>231</v>
      </c>
      <c r="B642" s="3" t="s">
        <v>231</v>
      </c>
      <c r="C642" s="13" t="s">
        <v>230</v>
      </c>
      <c r="D642" s="13">
        <v>0</v>
      </c>
      <c r="E642" s="13">
        <v>11</v>
      </c>
      <c r="F642" s="13"/>
      <c r="G642" s="13"/>
      <c r="H642" s="14"/>
      <c r="I642" s="15">
        <f>I643</f>
        <v>14697318.289999999</v>
      </c>
      <c r="J642" s="15"/>
      <c r="K642" s="15">
        <f>K643</f>
        <v>-880661.52</v>
      </c>
      <c r="L642" s="15">
        <f>L643</f>
        <v>-832719.22</v>
      </c>
      <c r="M642" s="15"/>
      <c r="N642" s="15"/>
      <c r="O642" s="15"/>
      <c r="P642" s="15">
        <f>P643</f>
        <v>-5000</v>
      </c>
      <c r="Q642" s="15"/>
      <c r="R642" s="15"/>
      <c r="S642" s="15"/>
      <c r="T642" s="15">
        <f>T643</f>
        <v>12978937.550000001</v>
      </c>
      <c r="U642" s="15"/>
      <c r="V642" s="15"/>
      <c r="W642" s="15"/>
      <c r="X642" s="15"/>
      <c r="Y642" s="15">
        <f>Y643</f>
        <v>14004130.970000001</v>
      </c>
      <c r="Z642" s="15"/>
      <c r="AA642" s="15"/>
      <c r="AB642" s="15"/>
      <c r="AC642" s="15"/>
      <c r="AD642" s="15">
        <f>AD643</f>
        <v>13659687.770000001</v>
      </c>
    </row>
    <row r="643" spans="1:38" ht="33.75" customHeight="1" x14ac:dyDescent="0.15">
      <c r="A643" s="53" t="s">
        <v>115</v>
      </c>
      <c r="B643" s="3" t="s">
        <v>115</v>
      </c>
      <c r="C643" s="13" t="s">
        <v>230</v>
      </c>
      <c r="D643" s="13">
        <v>0</v>
      </c>
      <c r="E643" s="13">
        <v>11</v>
      </c>
      <c r="F643" s="13">
        <v>961</v>
      </c>
      <c r="G643" s="13"/>
      <c r="H643" s="18"/>
      <c r="I643" s="15">
        <f>I644+I657+I653+I660</f>
        <v>14697318.289999999</v>
      </c>
      <c r="J643" s="22"/>
      <c r="K643" s="15">
        <f>K644+K657+K653+K660</f>
        <v>-880661.52</v>
      </c>
      <c r="L643" s="15">
        <f>L644+L657+L653+L660</f>
        <v>-832719.22</v>
      </c>
      <c r="M643" s="15"/>
      <c r="N643" s="15"/>
      <c r="O643" s="15"/>
      <c r="P643" s="15">
        <f>P644+P657+P653+P660</f>
        <v>-5000</v>
      </c>
      <c r="Q643" s="15"/>
      <c r="R643" s="15"/>
      <c r="S643" s="15"/>
      <c r="T643" s="15">
        <f>T644+T657+T653+T660</f>
        <v>12978937.550000001</v>
      </c>
      <c r="U643" s="15"/>
      <c r="V643" s="15"/>
      <c r="W643" s="15"/>
      <c r="X643" s="15"/>
      <c r="Y643" s="15">
        <f>Y644+Y657+Y653+Y660</f>
        <v>14004130.970000001</v>
      </c>
      <c r="Z643" s="15"/>
      <c r="AA643" s="15"/>
      <c r="AB643" s="15"/>
      <c r="AC643" s="15"/>
      <c r="AD643" s="15">
        <f>AD644+AD657+AD653+AD660</f>
        <v>13659687.770000001</v>
      </c>
    </row>
    <row r="644" spans="1:38" ht="45.75" customHeight="1" x14ac:dyDescent="0.15">
      <c r="A644" s="53" t="s">
        <v>232</v>
      </c>
      <c r="B644" s="49" t="s">
        <v>56</v>
      </c>
      <c r="C644" s="13" t="s">
        <v>230</v>
      </c>
      <c r="D644" s="13">
        <v>0</v>
      </c>
      <c r="E644" s="13">
        <v>11</v>
      </c>
      <c r="F644" s="13">
        <v>961</v>
      </c>
      <c r="G644" s="28">
        <v>80040</v>
      </c>
      <c r="H644" s="18" t="s">
        <v>33</v>
      </c>
      <c r="I644" s="15">
        <f>I645+I650</f>
        <v>8422738.2899999991</v>
      </c>
      <c r="J644" s="22"/>
      <c r="K644" s="22"/>
      <c r="L644" s="15">
        <f>L645+L650</f>
        <v>-122719.22</v>
      </c>
      <c r="M644" s="15"/>
      <c r="N644" s="15"/>
      <c r="O644" s="15"/>
      <c r="P644" s="15">
        <f>P645+P650</f>
        <v>-5000</v>
      </c>
      <c r="Q644" s="15"/>
      <c r="R644" s="15"/>
      <c r="S644" s="15"/>
      <c r="T644" s="15">
        <f>T645+T650</f>
        <v>8295019.0700000003</v>
      </c>
      <c r="U644" s="15"/>
      <c r="V644" s="15"/>
      <c r="W644" s="15"/>
      <c r="X644" s="15"/>
      <c r="Y644" s="15">
        <f>Y645+Y650</f>
        <v>8678479.7400000002</v>
      </c>
      <c r="Z644" s="15"/>
      <c r="AA644" s="15"/>
      <c r="AB644" s="15"/>
      <c r="AC644" s="15"/>
      <c r="AD644" s="15">
        <f>AD645+AD650</f>
        <v>9003607.7700000014</v>
      </c>
    </row>
    <row r="645" spans="1:38" ht="90.75" customHeight="1" x14ac:dyDescent="0.25">
      <c r="A645" s="5" t="s">
        <v>22</v>
      </c>
      <c r="B645" s="5" t="s">
        <v>22</v>
      </c>
      <c r="C645" s="11" t="s">
        <v>230</v>
      </c>
      <c r="D645" s="11">
        <v>0</v>
      </c>
      <c r="E645" s="11">
        <v>11</v>
      </c>
      <c r="F645" s="11">
        <v>961</v>
      </c>
      <c r="G645" s="29">
        <v>80040</v>
      </c>
      <c r="H645" s="21" t="s">
        <v>57</v>
      </c>
      <c r="I645" s="20">
        <f>I646</f>
        <v>7810623.6399999997</v>
      </c>
      <c r="J645" s="20"/>
      <c r="K645" s="20"/>
      <c r="L645" s="20">
        <f>L646</f>
        <v>-122719.22</v>
      </c>
      <c r="M645" s="20"/>
      <c r="N645" s="20"/>
      <c r="O645" s="20"/>
      <c r="P645" s="20"/>
      <c r="Q645" s="20"/>
      <c r="R645" s="20"/>
      <c r="S645" s="20"/>
      <c r="T645" s="20">
        <f>T646</f>
        <v>7687904.4199999999</v>
      </c>
      <c r="U645" s="20"/>
      <c r="V645" s="20"/>
      <c r="W645" s="20"/>
      <c r="X645" s="20"/>
      <c r="Y645" s="20">
        <f>Y646</f>
        <v>8066365.0899999999</v>
      </c>
      <c r="Z645" s="20"/>
      <c r="AA645" s="20"/>
      <c r="AB645" s="20"/>
      <c r="AC645" s="20"/>
      <c r="AD645" s="20">
        <f>AD646</f>
        <v>8391493.120000001</v>
      </c>
    </row>
    <row r="646" spans="1:38" ht="22.5" x14ac:dyDescent="0.25">
      <c r="A646" s="5" t="s">
        <v>23</v>
      </c>
      <c r="B646" s="5" t="s">
        <v>23</v>
      </c>
      <c r="C646" s="11" t="s">
        <v>230</v>
      </c>
      <c r="D646" s="11">
        <v>0</v>
      </c>
      <c r="E646" s="11">
        <v>11</v>
      </c>
      <c r="F646" s="11">
        <v>961</v>
      </c>
      <c r="G646" s="29">
        <v>80040</v>
      </c>
      <c r="H646" s="21" t="s">
        <v>58</v>
      </c>
      <c r="I646" s="20">
        <f>I647+I648+I649</f>
        <v>7810623.6399999997</v>
      </c>
      <c r="J646" s="20"/>
      <c r="K646" s="20"/>
      <c r="L646" s="20">
        <f>L647+L648+L649</f>
        <v>-122719.22</v>
      </c>
      <c r="M646" s="20"/>
      <c r="N646" s="20"/>
      <c r="O646" s="20"/>
      <c r="P646" s="20"/>
      <c r="Q646" s="20"/>
      <c r="R646" s="20"/>
      <c r="S646" s="20"/>
      <c r="T646" s="20">
        <f>T647+T648+T649</f>
        <v>7687904.4199999999</v>
      </c>
      <c r="U646" s="20"/>
      <c r="V646" s="20"/>
      <c r="W646" s="20"/>
      <c r="X646" s="20"/>
      <c r="Y646" s="20">
        <f>Y647+Y648+Y649</f>
        <v>8066365.0899999999</v>
      </c>
      <c r="Z646" s="20"/>
      <c r="AA646" s="20"/>
      <c r="AB646" s="20"/>
      <c r="AC646" s="20"/>
      <c r="AD646" s="20">
        <f>AD647+AD648+AD649</f>
        <v>8391493.120000001</v>
      </c>
    </row>
    <row r="647" spans="1:38" s="44" customFormat="1" ht="22.5" x14ac:dyDescent="0.25">
      <c r="A647" s="5" t="s">
        <v>24</v>
      </c>
      <c r="B647" s="5" t="s">
        <v>24</v>
      </c>
      <c r="C647" s="11" t="s">
        <v>230</v>
      </c>
      <c r="D647" s="11">
        <v>0</v>
      </c>
      <c r="E647" s="11">
        <v>11</v>
      </c>
      <c r="F647" s="11">
        <v>961</v>
      </c>
      <c r="G647" s="29">
        <v>80040</v>
      </c>
      <c r="H647" s="21">
        <v>121</v>
      </c>
      <c r="I647" s="20">
        <v>5530942.8899999997</v>
      </c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>
        <v>5530942.8899999997</v>
      </c>
      <c r="U647" s="20"/>
      <c r="V647" s="20"/>
      <c r="W647" s="20"/>
      <c r="X647" s="20"/>
      <c r="Y647" s="20">
        <v>5727364.8899999997</v>
      </c>
      <c r="Z647" s="20"/>
      <c r="AA647" s="20"/>
      <c r="AB647" s="20"/>
      <c r="AC647" s="20"/>
      <c r="AD647" s="20">
        <v>5978093.4500000002</v>
      </c>
      <c r="AF647" s="30"/>
      <c r="AG647" s="30"/>
      <c r="AH647" s="30"/>
      <c r="AI647" s="30"/>
      <c r="AJ647" s="30"/>
      <c r="AK647" s="30"/>
      <c r="AL647" s="30"/>
    </row>
    <row r="648" spans="1:38" ht="33.75" x14ac:dyDescent="0.25">
      <c r="A648" s="5" t="s">
        <v>45</v>
      </c>
      <c r="B648" s="5" t="s">
        <v>45</v>
      </c>
      <c r="C648" s="11" t="s">
        <v>230</v>
      </c>
      <c r="D648" s="11">
        <v>0</v>
      </c>
      <c r="E648" s="11">
        <v>11</v>
      </c>
      <c r="F648" s="11">
        <v>961</v>
      </c>
      <c r="G648" s="29">
        <v>80040</v>
      </c>
      <c r="H648" s="21">
        <v>122</v>
      </c>
      <c r="I648" s="20">
        <v>468000</v>
      </c>
      <c r="J648" s="20"/>
      <c r="K648" s="20"/>
      <c r="L648" s="20">
        <v>-94320</v>
      </c>
      <c r="M648" s="20"/>
      <c r="N648" s="20"/>
      <c r="O648" s="20"/>
      <c r="P648" s="20"/>
      <c r="Q648" s="20"/>
      <c r="R648" s="20"/>
      <c r="S648" s="20"/>
      <c r="T648" s="20">
        <f>468000+L648</f>
        <v>373680</v>
      </c>
      <c r="U648" s="20"/>
      <c r="V648" s="20"/>
      <c r="W648" s="20"/>
      <c r="X648" s="20"/>
      <c r="Y648" s="20">
        <v>468000</v>
      </c>
      <c r="Z648" s="20"/>
      <c r="AA648" s="20"/>
      <c r="AB648" s="20"/>
      <c r="AC648" s="20"/>
      <c r="AD648" s="20">
        <v>468000</v>
      </c>
    </row>
    <row r="649" spans="1:38" ht="45" x14ac:dyDescent="0.25">
      <c r="A649" s="5" t="s">
        <v>25</v>
      </c>
      <c r="B649" s="5" t="s">
        <v>25</v>
      </c>
      <c r="C649" s="11" t="s">
        <v>230</v>
      </c>
      <c r="D649" s="11">
        <v>0</v>
      </c>
      <c r="E649" s="11">
        <v>11</v>
      </c>
      <c r="F649" s="11">
        <v>961</v>
      </c>
      <c r="G649" s="29">
        <v>80040</v>
      </c>
      <c r="H649" s="21">
        <v>129</v>
      </c>
      <c r="I649" s="20">
        <v>1811680.75</v>
      </c>
      <c r="J649" s="20"/>
      <c r="K649" s="20"/>
      <c r="L649" s="20">
        <v>-28399.22</v>
      </c>
      <c r="M649" s="20"/>
      <c r="N649" s="20"/>
      <c r="O649" s="20"/>
      <c r="P649" s="20"/>
      <c r="Q649" s="20"/>
      <c r="R649" s="20"/>
      <c r="S649" s="20"/>
      <c r="T649" s="20">
        <f>1811680.75+L649</f>
        <v>1783281.53</v>
      </c>
      <c r="U649" s="20"/>
      <c r="V649" s="20"/>
      <c r="W649" s="20"/>
      <c r="X649" s="20"/>
      <c r="Y649" s="20">
        <v>1871000.2</v>
      </c>
      <c r="Z649" s="20"/>
      <c r="AA649" s="20"/>
      <c r="AB649" s="20"/>
      <c r="AC649" s="20"/>
      <c r="AD649" s="20">
        <v>1945399.67</v>
      </c>
    </row>
    <row r="650" spans="1:38" ht="22.5" x14ac:dyDescent="0.25">
      <c r="A650" s="5" t="s">
        <v>26</v>
      </c>
      <c r="B650" s="5" t="s">
        <v>26</v>
      </c>
      <c r="C650" s="11" t="s">
        <v>230</v>
      </c>
      <c r="D650" s="11">
        <v>0</v>
      </c>
      <c r="E650" s="11">
        <v>11</v>
      </c>
      <c r="F650" s="11">
        <v>961</v>
      </c>
      <c r="G650" s="29">
        <v>80040</v>
      </c>
      <c r="H650" s="21" t="s">
        <v>27</v>
      </c>
      <c r="I650" s="20">
        <f t="shared" ref="I650:AD651" si="128">I651</f>
        <v>612114.65</v>
      </c>
      <c r="J650" s="20"/>
      <c r="K650" s="20"/>
      <c r="L650" s="20"/>
      <c r="M650" s="20"/>
      <c r="N650" s="20"/>
      <c r="O650" s="20"/>
      <c r="P650" s="20">
        <f t="shared" si="128"/>
        <v>-5000</v>
      </c>
      <c r="Q650" s="20"/>
      <c r="R650" s="20"/>
      <c r="S650" s="20"/>
      <c r="T650" s="20">
        <f t="shared" si="128"/>
        <v>607114.65</v>
      </c>
      <c r="U650" s="20"/>
      <c r="V650" s="20"/>
      <c r="W650" s="20"/>
      <c r="X650" s="20"/>
      <c r="Y650" s="20">
        <f t="shared" si="128"/>
        <v>612114.65</v>
      </c>
      <c r="Z650" s="20"/>
      <c r="AA650" s="20"/>
      <c r="AB650" s="20"/>
      <c r="AC650" s="20"/>
      <c r="AD650" s="20">
        <f t="shared" si="128"/>
        <v>612114.65</v>
      </c>
    </row>
    <row r="651" spans="1:38" ht="33.75" x14ac:dyDescent="0.25">
      <c r="A651" s="5" t="s">
        <v>28</v>
      </c>
      <c r="B651" s="5" t="s">
        <v>28</v>
      </c>
      <c r="C651" s="11" t="s">
        <v>230</v>
      </c>
      <c r="D651" s="11">
        <v>0</v>
      </c>
      <c r="E651" s="11">
        <v>11</v>
      </c>
      <c r="F651" s="11">
        <v>961</v>
      </c>
      <c r="G651" s="29">
        <v>80040</v>
      </c>
      <c r="H651" s="21" t="s">
        <v>29</v>
      </c>
      <c r="I651" s="20">
        <f t="shared" si="128"/>
        <v>612114.65</v>
      </c>
      <c r="J651" s="20"/>
      <c r="K651" s="20"/>
      <c r="L651" s="20"/>
      <c r="M651" s="20"/>
      <c r="N651" s="20"/>
      <c r="O651" s="20"/>
      <c r="P651" s="20">
        <f t="shared" si="128"/>
        <v>-5000</v>
      </c>
      <c r="Q651" s="20"/>
      <c r="R651" s="20"/>
      <c r="S651" s="20"/>
      <c r="T651" s="20">
        <f t="shared" si="128"/>
        <v>607114.65</v>
      </c>
      <c r="U651" s="20"/>
      <c r="V651" s="20"/>
      <c r="W651" s="20"/>
      <c r="X651" s="20"/>
      <c r="Y651" s="20">
        <f t="shared" si="128"/>
        <v>612114.65</v>
      </c>
      <c r="Z651" s="20"/>
      <c r="AA651" s="20"/>
      <c r="AB651" s="20"/>
      <c r="AC651" s="20"/>
      <c r="AD651" s="20">
        <f t="shared" si="128"/>
        <v>612114.65</v>
      </c>
    </row>
    <row r="652" spans="1:38" ht="33.75" x14ac:dyDescent="0.25">
      <c r="A652" s="5" t="s">
        <v>30</v>
      </c>
      <c r="B652" s="5" t="s">
        <v>30</v>
      </c>
      <c r="C652" s="11" t="s">
        <v>230</v>
      </c>
      <c r="D652" s="11">
        <v>0</v>
      </c>
      <c r="E652" s="11">
        <v>11</v>
      </c>
      <c r="F652" s="11">
        <v>961</v>
      </c>
      <c r="G652" s="29">
        <v>80040</v>
      </c>
      <c r="H652" s="21">
        <v>244</v>
      </c>
      <c r="I652" s="20">
        <v>612114.65</v>
      </c>
      <c r="J652" s="20"/>
      <c r="K652" s="20"/>
      <c r="L652" s="20"/>
      <c r="M652" s="20"/>
      <c r="N652" s="20"/>
      <c r="O652" s="20"/>
      <c r="P652" s="20">
        <v>-5000</v>
      </c>
      <c r="Q652" s="20"/>
      <c r="R652" s="20"/>
      <c r="S652" s="20"/>
      <c r="T652" s="20">
        <f>612114.65+P652</f>
        <v>607114.65</v>
      </c>
      <c r="U652" s="20"/>
      <c r="V652" s="20"/>
      <c r="W652" s="20"/>
      <c r="X652" s="20"/>
      <c r="Y652" s="20">
        <v>612114.65</v>
      </c>
      <c r="Z652" s="20"/>
      <c r="AA652" s="20"/>
      <c r="AB652" s="20"/>
      <c r="AC652" s="20"/>
      <c r="AD652" s="20">
        <v>612114.65</v>
      </c>
    </row>
    <row r="653" spans="1:38" s="44" customFormat="1" ht="31.5" hidden="1" x14ac:dyDescent="0.25">
      <c r="A653" s="3" t="s">
        <v>67</v>
      </c>
      <c r="B653" s="49" t="s">
        <v>67</v>
      </c>
      <c r="C653" s="13" t="s">
        <v>230</v>
      </c>
      <c r="D653" s="13">
        <v>0</v>
      </c>
      <c r="E653" s="13">
        <v>11</v>
      </c>
      <c r="F653" s="13">
        <v>961</v>
      </c>
      <c r="G653" s="13">
        <v>80070</v>
      </c>
      <c r="H653" s="18"/>
      <c r="I653" s="15">
        <f>I654</f>
        <v>0</v>
      </c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15">
        <f>T654</f>
        <v>0</v>
      </c>
      <c r="U653" s="15"/>
      <c r="V653" s="15"/>
      <c r="W653" s="15"/>
      <c r="X653" s="15"/>
      <c r="Y653" s="20"/>
      <c r="Z653" s="20"/>
      <c r="AA653" s="20"/>
      <c r="AB653" s="20"/>
      <c r="AC653" s="20"/>
      <c r="AD653" s="20"/>
      <c r="AF653" s="30"/>
      <c r="AG653" s="30"/>
      <c r="AH653" s="30"/>
      <c r="AI653" s="30"/>
      <c r="AJ653" s="30"/>
      <c r="AK653" s="30"/>
      <c r="AL653" s="30"/>
    </row>
    <row r="654" spans="1:38" s="44" customFormat="1" ht="33.75" hidden="1" x14ac:dyDescent="0.25">
      <c r="A654" s="5" t="s">
        <v>26</v>
      </c>
      <c r="B654" s="5" t="s">
        <v>26</v>
      </c>
      <c r="C654" s="11" t="s">
        <v>230</v>
      </c>
      <c r="D654" s="11">
        <v>0</v>
      </c>
      <c r="E654" s="11">
        <v>11</v>
      </c>
      <c r="F654" s="11">
        <v>961</v>
      </c>
      <c r="G654" s="11">
        <v>80070</v>
      </c>
      <c r="H654" s="21" t="s">
        <v>27</v>
      </c>
      <c r="I654" s="20">
        <f>I655</f>
        <v>0</v>
      </c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>
        <f>T655</f>
        <v>0</v>
      </c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F654" s="30"/>
      <c r="AG654" s="30"/>
      <c r="AH654" s="30"/>
      <c r="AI654" s="30"/>
      <c r="AJ654" s="30"/>
      <c r="AK654" s="30"/>
      <c r="AL654" s="30"/>
    </row>
    <row r="655" spans="1:38" s="44" customFormat="1" ht="33.75" hidden="1" x14ac:dyDescent="0.25">
      <c r="A655" s="5" t="s">
        <v>28</v>
      </c>
      <c r="B655" s="5" t="s">
        <v>28</v>
      </c>
      <c r="C655" s="11" t="s">
        <v>230</v>
      </c>
      <c r="D655" s="11">
        <v>0</v>
      </c>
      <c r="E655" s="11">
        <v>11</v>
      </c>
      <c r="F655" s="11">
        <v>961</v>
      </c>
      <c r="G655" s="11">
        <v>80070</v>
      </c>
      <c r="H655" s="21" t="s">
        <v>29</v>
      </c>
      <c r="I655" s="20">
        <f>I656</f>
        <v>0</v>
      </c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>
        <f>T656</f>
        <v>0</v>
      </c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F655" s="30"/>
      <c r="AG655" s="30"/>
      <c r="AH655" s="30"/>
      <c r="AI655" s="30"/>
      <c r="AJ655" s="30"/>
      <c r="AK655" s="30"/>
      <c r="AL655" s="30"/>
    </row>
    <row r="656" spans="1:38" s="44" customFormat="1" ht="45" hidden="1" x14ac:dyDescent="0.25">
      <c r="A656" s="5" t="s">
        <v>30</v>
      </c>
      <c r="B656" s="5" t="s">
        <v>30</v>
      </c>
      <c r="C656" s="11" t="s">
        <v>230</v>
      </c>
      <c r="D656" s="11">
        <v>0</v>
      </c>
      <c r="E656" s="11">
        <v>11</v>
      </c>
      <c r="F656" s="11">
        <v>961</v>
      </c>
      <c r="G656" s="11">
        <v>80070</v>
      </c>
      <c r="H656" s="21">
        <v>244</v>
      </c>
      <c r="I656" s="20">
        <v>0</v>
      </c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>
        <v>0</v>
      </c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F656" s="30"/>
      <c r="AG656" s="30"/>
      <c r="AH656" s="30"/>
      <c r="AI656" s="30"/>
      <c r="AJ656" s="30"/>
      <c r="AK656" s="30"/>
      <c r="AL656" s="30"/>
    </row>
    <row r="657" spans="1:51" ht="19.5" customHeight="1" x14ac:dyDescent="0.25">
      <c r="A657" s="4" t="s">
        <v>233</v>
      </c>
      <c r="B657" s="49" t="s">
        <v>234</v>
      </c>
      <c r="C657" s="13" t="s">
        <v>230</v>
      </c>
      <c r="D657" s="13">
        <v>0</v>
      </c>
      <c r="E657" s="13">
        <v>11</v>
      </c>
      <c r="F657" s="13">
        <v>961</v>
      </c>
      <c r="G657" s="13">
        <v>83000</v>
      </c>
      <c r="H657" s="18" t="s">
        <v>33</v>
      </c>
      <c r="I657" s="15">
        <f t="shared" ref="I657:AD658" si="129">I658</f>
        <v>6268500</v>
      </c>
      <c r="J657" s="22"/>
      <c r="K657" s="15">
        <f t="shared" si="129"/>
        <v>-880661.52</v>
      </c>
      <c r="L657" s="15">
        <f t="shared" si="129"/>
        <v>-710000</v>
      </c>
      <c r="M657" s="15"/>
      <c r="N657" s="15"/>
      <c r="O657" s="15"/>
      <c r="P657" s="15"/>
      <c r="Q657" s="15"/>
      <c r="R657" s="15"/>
      <c r="S657" s="15"/>
      <c r="T657" s="15">
        <f t="shared" si="129"/>
        <v>4677838.4800000004</v>
      </c>
      <c r="U657" s="15"/>
      <c r="V657" s="15"/>
      <c r="W657" s="15"/>
      <c r="X657" s="15"/>
      <c r="Y657" s="15">
        <f t="shared" si="129"/>
        <v>5319571.2300000004</v>
      </c>
      <c r="Z657" s="15"/>
      <c r="AA657" s="15"/>
      <c r="AB657" s="15"/>
      <c r="AC657" s="15"/>
      <c r="AD657" s="15">
        <f t="shared" si="129"/>
        <v>4650000</v>
      </c>
    </row>
    <row r="658" spans="1:51" ht="22.5" x14ac:dyDescent="0.25">
      <c r="A658" s="5" t="s">
        <v>235</v>
      </c>
      <c r="B658" s="5" t="s">
        <v>235</v>
      </c>
      <c r="C658" s="11" t="s">
        <v>230</v>
      </c>
      <c r="D658" s="11">
        <v>0</v>
      </c>
      <c r="E658" s="11">
        <v>11</v>
      </c>
      <c r="F658" s="11">
        <v>961</v>
      </c>
      <c r="G658" s="11">
        <v>83000</v>
      </c>
      <c r="H658" s="21" t="s">
        <v>236</v>
      </c>
      <c r="I658" s="20">
        <f t="shared" si="129"/>
        <v>6268500</v>
      </c>
      <c r="J658" s="20"/>
      <c r="K658" s="20">
        <f t="shared" si="129"/>
        <v>-880661.52</v>
      </c>
      <c r="L658" s="20">
        <f t="shared" si="129"/>
        <v>-710000</v>
      </c>
      <c r="M658" s="20"/>
      <c r="N658" s="20"/>
      <c r="O658" s="20"/>
      <c r="P658" s="20"/>
      <c r="Q658" s="20"/>
      <c r="R658" s="20"/>
      <c r="S658" s="20"/>
      <c r="T658" s="20">
        <f t="shared" si="129"/>
        <v>4677838.4800000004</v>
      </c>
      <c r="U658" s="20"/>
      <c r="V658" s="20"/>
      <c r="W658" s="20"/>
      <c r="X658" s="20"/>
      <c r="Y658" s="20">
        <f t="shared" si="129"/>
        <v>5319571.2300000004</v>
      </c>
      <c r="Z658" s="20"/>
      <c r="AA658" s="20"/>
      <c r="AB658" s="20"/>
      <c r="AC658" s="20"/>
      <c r="AD658" s="20">
        <f t="shared" si="129"/>
        <v>4650000</v>
      </c>
    </row>
    <row r="659" spans="1:51" x14ac:dyDescent="0.25">
      <c r="A659" s="5" t="s">
        <v>234</v>
      </c>
      <c r="B659" s="5" t="s">
        <v>234</v>
      </c>
      <c r="C659" s="11" t="s">
        <v>230</v>
      </c>
      <c r="D659" s="11">
        <v>0</v>
      </c>
      <c r="E659" s="11">
        <v>11</v>
      </c>
      <c r="F659" s="11">
        <v>961</v>
      </c>
      <c r="G659" s="11">
        <v>83000</v>
      </c>
      <c r="H659" s="21">
        <v>730</v>
      </c>
      <c r="I659" s="20">
        <v>6268500</v>
      </c>
      <c r="J659" s="20"/>
      <c r="K659" s="20">
        <v>-880661.52</v>
      </c>
      <c r="L659" s="20">
        <v>-710000</v>
      </c>
      <c r="M659" s="20"/>
      <c r="N659" s="20"/>
      <c r="O659" s="20"/>
      <c r="P659" s="20"/>
      <c r="Q659" s="20"/>
      <c r="R659" s="20"/>
      <c r="S659" s="20"/>
      <c r="T659" s="20">
        <f>6268500+K659+L659</f>
        <v>4677838.4800000004</v>
      </c>
      <c r="U659" s="20"/>
      <c r="V659" s="20"/>
      <c r="W659" s="20"/>
      <c r="X659" s="20"/>
      <c r="Y659" s="20">
        <v>5319571.2300000004</v>
      </c>
      <c r="Z659" s="20"/>
      <c r="AA659" s="20"/>
      <c r="AB659" s="20"/>
      <c r="AC659" s="20"/>
      <c r="AD659" s="20">
        <v>4650000</v>
      </c>
    </row>
    <row r="660" spans="1:51" s="44" customFormat="1" ht="21" x14ac:dyDescent="0.25">
      <c r="A660" s="3"/>
      <c r="B660" s="3" t="s">
        <v>127</v>
      </c>
      <c r="C660" s="13" t="s">
        <v>230</v>
      </c>
      <c r="D660" s="13">
        <v>0</v>
      </c>
      <c r="E660" s="13">
        <v>11</v>
      </c>
      <c r="F660" s="13">
        <v>961</v>
      </c>
      <c r="G660" s="13">
        <v>83360</v>
      </c>
      <c r="H660" s="14"/>
      <c r="I660" s="15">
        <f t="shared" ref="I660:AD661" si="130">I661</f>
        <v>6080</v>
      </c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>
        <f t="shared" si="130"/>
        <v>6080</v>
      </c>
      <c r="U660" s="15"/>
      <c r="V660" s="15"/>
      <c r="W660" s="15"/>
      <c r="X660" s="15"/>
      <c r="Y660" s="15">
        <f t="shared" si="130"/>
        <v>6080</v>
      </c>
      <c r="Z660" s="15"/>
      <c r="AA660" s="15"/>
      <c r="AB660" s="15"/>
      <c r="AC660" s="15"/>
      <c r="AD660" s="15">
        <f t="shared" si="130"/>
        <v>6080</v>
      </c>
      <c r="AF660" s="30"/>
      <c r="AG660" s="30"/>
      <c r="AH660" s="30"/>
      <c r="AI660" s="30"/>
      <c r="AJ660" s="30"/>
      <c r="AK660" s="30"/>
      <c r="AL660" s="30"/>
    </row>
    <row r="661" spans="1:51" x14ac:dyDescent="0.25">
      <c r="A661" s="5"/>
      <c r="B661" s="5" t="s">
        <v>59</v>
      </c>
      <c r="C661" s="11" t="s">
        <v>230</v>
      </c>
      <c r="D661" s="11">
        <v>0</v>
      </c>
      <c r="E661" s="11">
        <v>11</v>
      </c>
      <c r="F661" s="11">
        <v>961</v>
      </c>
      <c r="G661" s="11">
        <v>83360</v>
      </c>
      <c r="H661" s="21">
        <v>800</v>
      </c>
      <c r="I661" s="20">
        <f t="shared" si="130"/>
        <v>6080</v>
      </c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>
        <f t="shared" si="130"/>
        <v>6080</v>
      </c>
      <c r="U661" s="20"/>
      <c r="V661" s="20"/>
      <c r="W661" s="20"/>
      <c r="X661" s="20"/>
      <c r="Y661" s="20">
        <f t="shared" si="130"/>
        <v>6080</v>
      </c>
      <c r="Z661" s="20"/>
      <c r="AA661" s="20"/>
      <c r="AB661" s="20"/>
      <c r="AC661" s="20"/>
      <c r="AD661" s="20">
        <f t="shared" si="130"/>
        <v>6080</v>
      </c>
    </row>
    <row r="662" spans="1:51" x14ac:dyDescent="0.25">
      <c r="A662" s="5"/>
      <c r="B662" s="5" t="s">
        <v>62</v>
      </c>
      <c r="C662" s="11" t="s">
        <v>230</v>
      </c>
      <c r="D662" s="11">
        <v>0</v>
      </c>
      <c r="E662" s="11">
        <v>11</v>
      </c>
      <c r="F662" s="11">
        <v>961</v>
      </c>
      <c r="G662" s="11">
        <v>83360</v>
      </c>
      <c r="H662" s="21">
        <v>850</v>
      </c>
      <c r="I662" s="20">
        <f>I663+I664</f>
        <v>6080</v>
      </c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>
        <f>T663+T664</f>
        <v>6080</v>
      </c>
      <c r="U662" s="20"/>
      <c r="V662" s="20"/>
      <c r="W662" s="20"/>
      <c r="X662" s="20"/>
      <c r="Y662" s="20">
        <f>Y663+Y664</f>
        <v>6080</v>
      </c>
      <c r="Z662" s="20"/>
      <c r="AA662" s="20"/>
      <c r="AB662" s="20"/>
      <c r="AC662" s="20"/>
      <c r="AD662" s="20">
        <f>AD663+AD664</f>
        <v>6080</v>
      </c>
    </row>
    <row r="663" spans="1:51" hidden="1" x14ac:dyDescent="0.25">
      <c r="A663" s="5"/>
      <c r="B663" s="5" t="s">
        <v>133</v>
      </c>
      <c r="C663" s="11" t="s">
        <v>230</v>
      </c>
      <c r="D663" s="11">
        <v>0</v>
      </c>
      <c r="E663" s="11">
        <v>11</v>
      </c>
      <c r="F663" s="11">
        <v>961</v>
      </c>
      <c r="G663" s="11">
        <v>83360</v>
      </c>
      <c r="H663" s="21">
        <v>852</v>
      </c>
      <c r="I663" s="20">
        <v>0</v>
      </c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>
        <v>0</v>
      </c>
      <c r="U663" s="20"/>
      <c r="V663" s="20"/>
      <c r="W663" s="20"/>
      <c r="X663" s="20"/>
      <c r="Y663" s="20">
        <v>0</v>
      </c>
      <c r="Z663" s="20"/>
      <c r="AA663" s="20"/>
      <c r="AB663" s="20"/>
      <c r="AC663" s="20"/>
      <c r="AD663" s="20">
        <v>0</v>
      </c>
    </row>
    <row r="664" spans="1:51" x14ac:dyDescent="0.25">
      <c r="A664" s="5"/>
      <c r="B664" s="3" t="s">
        <v>63</v>
      </c>
      <c r="C664" s="11" t="s">
        <v>230</v>
      </c>
      <c r="D664" s="11">
        <v>0</v>
      </c>
      <c r="E664" s="11">
        <v>11</v>
      </c>
      <c r="F664" s="11">
        <v>961</v>
      </c>
      <c r="G664" s="11">
        <v>83360</v>
      </c>
      <c r="H664" s="21">
        <v>853</v>
      </c>
      <c r="I664" s="20">
        <v>6080</v>
      </c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>
        <v>6080</v>
      </c>
      <c r="U664" s="20"/>
      <c r="V664" s="20"/>
      <c r="W664" s="20"/>
      <c r="X664" s="20"/>
      <c r="Y664" s="20">
        <v>6080</v>
      </c>
      <c r="Z664" s="20"/>
      <c r="AA664" s="20"/>
      <c r="AB664" s="20"/>
      <c r="AC664" s="20"/>
      <c r="AD664" s="20">
        <v>6080</v>
      </c>
    </row>
    <row r="665" spans="1:51" s="44" customFormat="1" ht="76.5" customHeight="1" x14ac:dyDescent="0.25">
      <c r="A665" s="58" t="s">
        <v>237</v>
      </c>
      <c r="B665" s="3" t="s">
        <v>322</v>
      </c>
      <c r="C665" s="19" t="s">
        <v>238</v>
      </c>
      <c r="D665" s="13"/>
      <c r="E665" s="13"/>
      <c r="F665" s="13"/>
      <c r="G665" s="13"/>
      <c r="H665" s="14"/>
      <c r="I665" s="15">
        <f t="shared" ref="I665:AY665" si="131">I700+I726+I737+I758+I666+I771</f>
        <v>121093068</v>
      </c>
      <c r="J665" s="15">
        <f t="shared" si="131"/>
        <v>3809887.42</v>
      </c>
      <c r="K665" s="15">
        <f t="shared" si="131"/>
        <v>2719115.52</v>
      </c>
      <c r="L665" s="15">
        <f t="shared" si="131"/>
        <v>1177000</v>
      </c>
      <c r="M665" s="15">
        <f t="shared" si="131"/>
        <v>0</v>
      </c>
      <c r="N665" s="15"/>
      <c r="O665" s="15">
        <f t="shared" si="131"/>
        <v>0</v>
      </c>
      <c r="P665" s="15">
        <f>P700+P726+P737+P758+P666+P771</f>
        <v>2355890.94</v>
      </c>
      <c r="Q665" s="15"/>
      <c r="R665" s="15">
        <f>R700+R726+R737+R758+R666+R771</f>
        <v>123561.41</v>
      </c>
      <c r="S665" s="15"/>
      <c r="T665" s="15">
        <f>T700+T726+T737+T758+T666+T771</f>
        <v>194943963.5</v>
      </c>
      <c r="U665" s="15">
        <f t="shared" si="131"/>
        <v>0</v>
      </c>
      <c r="V665" s="15">
        <f t="shared" si="131"/>
        <v>0</v>
      </c>
      <c r="W665" s="15">
        <f t="shared" si="131"/>
        <v>0</v>
      </c>
      <c r="X665" s="15">
        <f>X700+X726+X737+X758+X666+X771</f>
        <v>-990000</v>
      </c>
      <c r="Y665" s="15">
        <f>Y700+Y726+Y737+Y758+Y666+Y771</f>
        <v>77314817</v>
      </c>
      <c r="Z665" s="15">
        <f t="shared" si="131"/>
        <v>0</v>
      </c>
      <c r="AA665" s="15">
        <f t="shared" si="131"/>
        <v>0</v>
      </c>
      <c r="AB665" s="15">
        <f t="shared" si="131"/>
        <v>0</v>
      </c>
      <c r="AC665" s="15">
        <f>AC700+AC726+AC737+AC758+AC666+AC771</f>
        <v>-93288947.400000006</v>
      </c>
      <c r="AD665" s="15">
        <f>AD700+AD726+AD737+AD758+AD666+AD771</f>
        <v>89320080.859999985</v>
      </c>
      <c r="AE665" s="15">
        <f t="shared" si="131"/>
        <v>0</v>
      </c>
      <c r="AF665" s="15">
        <f t="shared" si="131"/>
        <v>0</v>
      </c>
      <c r="AG665" s="15">
        <f t="shared" si="131"/>
        <v>0</v>
      </c>
      <c r="AH665" s="15">
        <f t="shared" si="131"/>
        <v>0</v>
      </c>
      <c r="AI665" s="15">
        <f t="shared" si="131"/>
        <v>0</v>
      </c>
      <c r="AJ665" s="15">
        <f t="shared" si="131"/>
        <v>0</v>
      </c>
      <c r="AK665" s="15">
        <f t="shared" si="131"/>
        <v>0</v>
      </c>
      <c r="AL665" s="15">
        <f t="shared" si="131"/>
        <v>0</v>
      </c>
      <c r="AM665" s="15">
        <f t="shared" si="131"/>
        <v>0</v>
      </c>
      <c r="AN665" s="15">
        <f t="shared" si="131"/>
        <v>0</v>
      </c>
      <c r="AO665" s="15">
        <f t="shared" si="131"/>
        <v>0</v>
      </c>
      <c r="AP665" s="15">
        <f t="shared" si="131"/>
        <v>0</v>
      </c>
      <c r="AQ665" s="15">
        <f t="shared" si="131"/>
        <v>0</v>
      </c>
      <c r="AR665" s="15">
        <f t="shared" si="131"/>
        <v>0</v>
      </c>
      <c r="AS665" s="15">
        <f t="shared" si="131"/>
        <v>0</v>
      </c>
      <c r="AT665" s="15">
        <f t="shared" si="131"/>
        <v>0</v>
      </c>
      <c r="AU665" s="15">
        <f t="shared" si="131"/>
        <v>0</v>
      </c>
      <c r="AV665" s="15">
        <f t="shared" si="131"/>
        <v>0</v>
      </c>
      <c r="AW665" s="15">
        <f t="shared" si="131"/>
        <v>0</v>
      </c>
      <c r="AX665" s="15">
        <f t="shared" si="131"/>
        <v>0</v>
      </c>
      <c r="AY665" s="15">
        <f t="shared" si="131"/>
        <v>0</v>
      </c>
    </row>
    <row r="666" spans="1:51" s="44" customFormat="1" ht="66.75" customHeight="1" x14ac:dyDescent="0.25">
      <c r="A666" s="58"/>
      <c r="B666" s="3" t="s">
        <v>239</v>
      </c>
      <c r="C666" s="19" t="s">
        <v>238</v>
      </c>
      <c r="D666" s="13">
        <v>0</v>
      </c>
      <c r="E666" s="13">
        <v>11</v>
      </c>
      <c r="F666" s="13"/>
      <c r="G666" s="13"/>
      <c r="H666" s="14"/>
      <c r="I666" s="15">
        <f>I667</f>
        <v>0</v>
      </c>
      <c r="J666" s="15">
        <f>J667</f>
        <v>2248150</v>
      </c>
      <c r="K666" s="15"/>
      <c r="L666" s="15">
        <f>L667</f>
        <v>2298000</v>
      </c>
      <c r="M666" s="15"/>
      <c r="N666" s="15"/>
      <c r="O666" s="15">
        <f>O667</f>
        <v>0</v>
      </c>
      <c r="P666" s="15">
        <f>P667+P672</f>
        <v>-281541.40999999997</v>
      </c>
      <c r="Q666" s="15"/>
      <c r="R666" s="15">
        <f>R667+R672</f>
        <v>-21438.59</v>
      </c>
      <c r="S666" s="15"/>
      <c r="T666" s="15">
        <f>T667+T672</f>
        <v>19643090</v>
      </c>
      <c r="U666" s="15">
        <f t="shared" ref="U666:AD666" si="132">U667+U672</f>
        <v>0</v>
      </c>
      <c r="V666" s="15">
        <f t="shared" si="132"/>
        <v>0</v>
      </c>
      <c r="W666" s="15">
        <f t="shared" si="132"/>
        <v>0</v>
      </c>
      <c r="X666" s="15"/>
      <c r="Y666" s="15">
        <f t="shared" si="132"/>
        <v>300000</v>
      </c>
      <c r="Z666" s="15">
        <f t="shared" si="132"/>
        <v>0</v>
      </c>
      <c r="AA666" s="15">
        <f t="shared" si="132"/>
        <v>0</v>
      </c>
      <c r="AB666" s="15">
        <f t="shared" si="132"/>
        <v>0</v>
      </c>
      <c r="AC666" s="15"/>
      <c r="AD666" s="15">
        <f t="shared" si="132"/>
        <v>843478.26</v>
      </c>
      <c r="AF666" s="30"/>
      <c r="AG666" s="30"/>
      <c r="AH666" s="30"/>
      <c r="AI666" s="30"/>
      <c r="AJ666" s="30"/>
      <c r="AK666" s="30"/>
      <c r="AL666" s="30"/>
    </row>
    <row r="667" spans="1:51" s="44" customFormat="1" ht="45.75" customHeight="1" x14ac:dyDescent="0.25">
      <c r="A667" s="58"/>
      <c r="B667" s="3" t="s">
        <v>20</v>
      </c>
      <c r="C667" s="19" t="s">
        <v>238</v>
      </c>
      <c r="D667" s="13">
        <v>0</v>
      </c>
      <c r="E667" s="13">
        <v>11</v>
      </c>
      <c r="F667" s="13">
        <v>902</v>
      </c>
      <c r="G667" s="13"/>
      <c r="H667" s="14"/>
      <c r="I667" s="15">
        <f>I668+I692</f>
        <v>0</v>
      </c>
      <c r="J667" s="15">
        <f>J668+J692+J680</f>
        <v>2248150</v>
      </c>
      <c r="K667" s="15"/>
      <c r="L667" s="15">
        <f>L668+L692+L680+L696</f>
        <v>2298000</v>
      </c>
      <c r="M667" s="15"/>
      <c r="N667" s="15"/>
      <c r="O667" s="15">
        <f>O668+O692+O680+O696</f>
        <v>0</v>
      </c>
      <c r="P667" s="15">
        <f>P668+P692+P680+P696</f>
        <v>-281541.40999999997</v>
      </c>
      <c r="Q667" s="15"/>
      <c r="R667" s="15">
        <f>R668+R692+R680+R696</f>
        <v>-21438.59</v>
      </c>
      <c r="S667" s="15"/>
      <c r="T667" s="15">
        <f>T668+T692+T680+T696+T676</f>
        <v>19643090</v>
      </c>
      <c r="U667" s="15">
        <f t="shared" ref="U667:AD667" si="133">U668+U692+U680+U696</f>
        <v>0</v>
      </c>
      <c r="V667" s="15">
        <f t="shared" si="133"/>
        <v>0</v>
      </c>
      <c r="W667" s="15">
        <f t="shared" si="133"/>
        <v>0</v>
      </c>
      <c r="X667" s="15"/>
      <c r="Y667" s="15">
        <f t="shared" si="133"/>
        <v>300000</v>
      </c>
      <c r="Z667" s="15">
        <f t="shared" si="133"/>
        <v>0</v>
      </c>
      <c r="AA667" s="15">
        <f t="shared" si="133"/>
        <v>0</v>
      </c>
      <c r="AB667" s="15">
        <f t="shared" si="133"/>
        <v>0</v>
      </c>
      <c r="AC667" s="15"/>
      <c r="AD667" s="15">
        <f t="shared" si="133"/>
        <v>300000</v>
      </c>
      <c r="AF667" s="30"/>
      <c r="AG667" s="30"/>
      <c r="AH667" s="30"/>
      <c r="AI667" s="30"/>
      <c r="AJ667" s="30"/>
      <c r="AK667" s="30"/>
      <c r="AL667" s="30"/>
    </row>
    <row r="668" spans="1:51" s="44" customFormat="1" ht="60" hidden="1" customHeight="1" x14ac:dyDescent="0.25">
      <c r="A668" s="58"/>
      <c r="B668" s="3" t="s">
        <v>239</v>
      </c>
      <c r="C668" s="19" t="s">
        <v>238</v>
      </c>
      <c r="D668" s="13">
        <v>0</v>
      </c>
      <c r="E668" s="13">
        <v>11</v>
      </c>
      <c r="F668" s="13">
        <v>902</v>
      </c>
      <c r="G668" s="13" t="s">
        <v>240</v>
      </c>
      <c r="H668" s="31"/>
      <c r="I668" s="15">
        <f>I669</f>
        <v>0</v>
      </c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15">
        <f>T669</f>
        <v>0</v>
      </c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F668" s="30"/>
      <c r="AG668" s="30"/>
      <c r="AH668" s="30"/>
      <c r="AI668" s="30"/>
      <c r="AJ668" s="30"/>
      <c r="AK668" s="30"/>
      <c r="AL668" s="30"/>
    </row>
    <row r="669" spans="1:51" s="44" customFormat="1" ht="42" hidden="1" customHeight="1" x14ac:dyDescent="0.25">
      <c r="A669" s="58"/>
      <c r="B669" s="5" t="s">
        <v>26</v>
      </c>
      <c r="C669" s="2" t="s">
        <v>238</v>
      </c>
      <c r="D669" s="11">
        <v>0</v>
      </c>
      <c r="E669" s="11">
        <v>11</v>
      </c>
      <c r="F669" s="11">
        <v>902</v>
      </c>
      <c r="G669" s="11" t="s">
        <v>240</v>
      </c>
      <c r="H669" s="21">
        <v>200</v>
      </c>
      <c r="I669" s="20">
        <f>I670</f>
        <v>0</v>
      </c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>
        <f>T670</f>
        <v>0</v>
      </c>
      <c r="U669" s="20"/>
      <c r="V669" s="20"/>
      <c r="W669" s="20"/>
      <c r="X669" s="20"/>
      <c r="Y669" s="15"/>
      <c r="Z669" s="15"/>
      <c r="AA669" s="15"/>
      <c r="AB669" s="15"/>
      <c r="AC669" s="15"/>
      <c r="AD669" s="15"/>
      <c r="AF669" s="30"/>
      <c r="AG669" s="30"/>
      <c r="AH669" s="30"/>
      <c r="AI669" s="30"/>
      <c r="AJ669" s="30"/>
      <c r="AK669" s="30"/>
      <c r="AL669" s="30"/>
    </row>
    <row r="670" spans="1:51" s="44" customFormat="1" ht="48.75" hidden="1" customHeight="1" x14ac:dyDescent="0.25">
      <c r="A670" s="58"/>
      <c r="B670" s="5" t="s">
        <v>28</v>
      </c>
      <c r="C670" s="2" t="s">
        <v>238</v>
      </c>
      <c r="D670" s="11">
        <v>0</v>
      </c>
      <c r="E670" s="11">
        <v>11</v>
      </c>
      <c r="F670" s="11">
        <v>902</v>
      </c>
      <c r="G670" s="11" t="s">
        <v>240</v>
      </c>
      <c r="H670" s="21">
        <v>240</v>
      </c>
      <c r="I670" s="20">
        <f>I671</f>
        <v>0</v>
      </c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>
        <f>T671</f>
        <v>0</v>
      </c>
      <c r="U670" s="20"/>
      <c r="V670" s="20"/>
      <c r="W670" s="20"/>
      <c r="X670" s="20"/>
      <c r="Y670" s="15"/>
      <c r="Z670" s="15"/>
      <c r="AA670" s="15"/>
      <c r="AB670" s="15"/>
      <c r="AC670" s="15"/>
      <c r="AD670" s="15"/>
      <c r="AF670" s="30"/>
      <c r="AG670" s="30"/>
      <c r="AH670" s="30"/>
      <c r="AI670" s="30"/>
      <c r="AJ670" s="30"/>
      <c r="AK670" s="30"/>
      <c r="AL670" s="30"/>
    </row>
    <row r="671" spans="1:51" s="44" customFormat="1" ht="45" hidden="1" customHeight="1" x14ac:dyDescent="0.25">
      <c r="A671" s="58"/>
      <c r="B671" s="5" t="s">
        <v>30</v>
      </c>
      <c r="C671" s="2" t="s">
        <v>238</v>
      </c>
      <c r="D671" s="11">
        <v>0</v>
      </c>
      <c r="E671" s="11">
        <v>11</v>
      </c>
      <c r="F671" s="11">
        <v>902</v>
      </c>
      <c r="G671" s="11" t="s">
        <v>240</v>
      </c>
      <c r="H671" s="21">
        <v>244</v>
      </c>
      <c r="I671" s="20">
        <v>0</v>
      </c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>
        <v>0</v>
      </c>
      <c r="U671" s="20"/>
      <c r="V671" s="20"/>
      <c r="W671" s="20"/>
      <c r="X671" s="20"/>
      <c r="Y671" s="15"/>
      <c r="Z671" s="15"/>
      <c r="AA671" s="15"/>
      <c r="AB671" s="15"/>
      <c r="AC671" s="15"/>
      <c r="AD671" s="15"/>
      <c r="AF671" s="30"/>
      <c r="AG671" s="30"/>
      <c r="AH671" s="30"/>
      <c r="AI671" s="30"/>
      <c r="AJ671" s="30"/>
      <c r="AK671" s="30"/>
      <c r="AL671" s="30"/>
    </row>
    <row r="672" spans="1:51" s="44" customFormat="1" x14ac:dyDescent="0.25">
      <c r="A672" s="58"/>
      <c r="B672" s="3" t="s">
        <v>252</v>
      </c>
      <c r="C672" s="19" t="s">
        <v>238</v>
      </c>
      <c r="D672" s="13">
        <v>0</v>
      </c>
      <c r="E672" s="13">
        <v>11</v>
      </c>
      <c r="F672" s="13">
        <v>902</v>
      </c>
      <c r="G672" s="13" t="s">
        <v>253</v>
      </c>
      <c r="H672" s="14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15"/>
      <c r="Z672" s="15"/>
      <c r="AA672" s="15"/>
      <c r="AB672" s="15"/>
      <c r="AC672" s="15"/>
      <c r="AD672" s="15">
        <f>AD673</f>
        <v>543478.26</v>
      </c>
      <c r="AF672" s="30"/>
      <c r="AG672" s="30"/>
      <c r="AH672" s="30"/>
      <c r="AI672" s="30"/>
      <c r="AJ672" s="30"/>
      <c r="AK672" s="30"/>
      <c r="AL672" s="30"/>
    </row>
    <row r="673" spans="1:54" s="44" customFormat="1" ht="45" customHeight="1" x14ac:dyDescent="0.25">
      <c r="A673" s="58"/>
      <c r="B673" s="5" t="s">
        <v>26</v>
      </c>
      <c r="C673" s="2" t="s">
        <v>238</v>
      </c>
      <c r="D673" s="11">
        <v>0</v>
      </c>
      <c r="E673" s="11">
        <v>11</v>
      </c>
      <c r="F673" s="11">
        <v>902</v>
      </c>
      <c r="G673" s="11" t="s">
        <v>253</v>
      </c>
      <c r="H673" s="21">
        <v>200</v>
      </c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15"/>
      <c r="Z673" s="15"/>
      <c r="AA673" s="15"/>
      <c r="AB673" s="15"/>
      <c r="AC673" s="15"/>
      <c r="AD673" s="15">
        <f>AD674</f>
        <v>543478.26</v>
      </c>
      <c r="AF673" s="30"/>
      <c r="AG673" s="30"/>
      <c r="AH673" s="30"/>
      <c r="AI673" s="30"/>
      <c r="AJ673" s="30"/>
      <c r="AK673" s="30"/>
      <c r="AL673" s="30"/>
    </row>
    <row r="674" spans="1:54" s="44" customFormat="1" ht="45" customHeight="1" x14ac:dyDescent="0.25">
      <c r="A674" s="58"/>
      <c r="B674" s="5" t="s">
        <v>28</v>
      </c>
      <c r="C674" s="2" t="s">
        <v>238</v>
      </c>
      <c r="D674" s="11">
        <v>0</v>
      </c>
      <c r="E674" s="11">
        <v>11</v>
      </c>
      <c r="F674" s="11">
        <v>902</v>
      </c>
      <c r="G674" s="11" t="s">
        <v>253</v>
      </c>
      <c r="H674" s="21">
        <v>240</v>
      </c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15"/>
      <c r="Z674" s="15"/>
      <c r="AA674" s="15"/>
      <c r="AB674" s="15"/>
      <c r="AC674" s="15"/>
      <c r="AD674" s="15">
        <f>AD675</f>
        <v>543478.26</v>
      </c>
      <c r="AF674" s="30"/>
      <c r="AG674" s="30"/>
      <c r="AH674" s="30"/>
      <c r="AI674" s="30"/>
      <c r="AJ674" s="30"/>
      <c r="AK674" s="30"/>
      <c r="AL674" s="30"/>
    </row>
    <row r="675" spans="1:54" s="44" customFormat="1" ht="45" customHeight="1" x14ac:dyDescent="0.25">
      <c r="A675" s="58"/>
      <c r="B675" s="5" t="s">
        <v>254</v>
      </c>
      <c r="C675" s="2" t="s">
        <v>238</v>
      </c>
      <c r="D675" s="11">
        <v>0</v>
      </c>
      <c r="E675" s="11">
        <v>11</v>
      </c>
      <c r="F675" s="11">
        <v>902</v>
      </c>
      <c r="G675" s="11" t="s">
        <v>253</v>
      </c>
      <c r="H675" s="21">
        <v>243</v>
      </c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15"/>
      <c r="Z675" s="20">
        <v>543478.26</v>
      </c>
      <c r="AA675" s="20"/>
      <c r="AB675" s="20"/>
      <c r="AC675" s="20"/>
      <c r="AD675" s="15">
        <f>Z675</f>
        <v>543478.26</v>
      </c>
      <c r="AF675" s="30"/>
      <c r="AG675" s="30"/>
      <c r="AH675" s="30"/>
      <c r="AI675" s="30"/>
      <c r="AJ675" s="30"/>
      <c r="AK675" s="30"/>
      <c r="AL675" s="30"/>
    </row>
    <row r="676" spans="1:54" s="44" customFormat="1" ht="52.5" customHeight="1" x14ac:dyDescent="0.25">
      <c r="A676" s="58"/>
      <c r="B676" s="69" t="s">
        <v>367</v>
      </c>
      <c r="C676" s="2" t="s">
        <v>238</v>
      </c>
      <c r="D676" s="11">
        <v>0</v>
      </c>
      <c r="E676" s="11">
        <v>11</v>
      </c>
      <c r="F676" s="11">
        <v>902</v>
      </c>
      <c r="G676" s="11">
        <v>13300</v>
      </c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>
        <f>T677</f>
        <v>15000000</v>
      </c>
      <c r="U676" s="20"/>
      <c r="V676" s="20"/>
      <c r="W676" s="20"/>
      <c r="X676" s="20"/>
      <c r="Y676" s="15"/>
      <c r="Z676" s="20"/>
      <c r="AA676" s="20"/>
      <c r="AB676" s="20"/>
      <c r="AC676" s="20"/>
      <c r="AD676" s="15"/>
      <c r="AF676" s="30"/>
      <c r="AG676" s="30"/>
      <c r="AH676" s="30"/>
      <c r="AI676" s="30"/>
      <c r="AJ676" s="30"/>
      <c r="AK676" s="30"/>
      <c r="AL676" s="30"/>
    </row>
    <row r="677" spans="1:54" s="44" customFormat="1" ht="22.5" x14ac:dyDescent="0.25">
      <c r="A677" s="58"/>
      <c r="B677" s="5" t="s">
        <v>26</v>
      </c>
      <c r="C677" s="2" t="s">
        <v>238</v>
      </c>
      <c r="D677" s="11">
        <v>0</v>
      </c>
      <c r="E677" s="11">
        <v>11</v>
      </c>
      <c r="F677" s="11">
        <v>902</v>
      </c>
      <c r="G677" s="11">
        <v>13300</v>
      </c>
      <c r="H677" s="21">
        <v>200</v>
      </c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>
        <f>T678</f>
        <v>15000000</v>
      </c>
      <c r="U677" s="20"/>
      <c r="V677" s="20"/>
      <c r="W677" s="20"/>
      <c r="X677" s="20"/>
      <c r="Y677" s="15"/>
      <c r="Z677" s="20"/>
      <c r="AA677" s="20"/>
      <c r="AB677" s="20"/>
      <c r="AC677" s="20"/>
      <c r="AD677" s="15"/>
      <c r="AF677" s="30"/>
      <c r="AG677" s="30"/>
      <c r="AH677" s="30"/>
      <c r="AI677" s="30"/>
      <c r="AJ677" s="30"/>
      <c r="AK677" s="30"/>
      <c r="AL677" s="30"/>
    </row>
    <row r="678" spans="1:54" s="44" customFormat="1" ht="22.5" x14ac:dyDescent="0.25">
      <c r="A678" s="58"/>
      <c r="B678" s="5" t="s">
        <v>28</v>
      </c>
      <c r="C678" s="2" t="s">
        <v>238</v>
      </c>
      <c r="D678" s="11">
        <v>0</v>
      </c>
      <c r="E678" s="11">
        <v>11</v>
      </c>
      <c r="F678" s="11">
        <v>902</v>
      </c>
      <c r="G678" s="11">
        <v>13300</v>
      </c>
      <c r="H678" s="21">
        <v>240</v>
      </c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>
        <f>T679</f>
        <v>15000000</v>
      </c>
      <c r="U678" s="20"/>
      <c r="V678" s="20"/>
      <c r="W678" s="20"/>
      <c r="X678" s="20"/>
      <c r="Y678" s="15"/>
      <c r="Z678" s="20"/>
      <c r="AA678" s="20"/>
      <c r="AB678" s="20"/>
      <c r="AC678" s="20"/>
      <c r="AD678" s="15"/>
      <c r="AF678" s="30"/>
      <c r="AG678" s="30"/>
      <c r="AH678" s="30"/>
      <c r="AI678" s="30"/>
      <c r="AJ678" s="30"/>
      <c r="AK678" s="30"/>
      <c r="AL678" s="30"/>
      <c r="BB678" s="59"/>
    </row>
    <row r="679" spans="1:54" s="44" customFormat="1" ht="45" customHeight="1" x14ac:dyDescent="0.25">
      <c r="A679" s="58"/>
      <c r="B679" s="5" t="s">
        <v>254</v>
      </c>
      <c r="C679" s="2" t="s">
        <v>238</v>
      </c>
      <c r="D679" s="11">
        <v>0</v>
      </c>
      <c r="E679" s="11">
        <v>11</v>
      </c>
      <c r="F679" s="11">
        <v>902</v>
      </c>
      <c r="G679" s="11">
        <v>13300</v>
      </c>
      <c r="H679" s="21">
        <v>243</v>
      </c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>
        <v>15000000</v>
      </c>
      <c r="T679" s="20">
        <f>S679</f>
        <v>15000000</v>
      </c>
      <c r="U679" s="20"/>
      <c r="V679" s="20"/>
      <c r="W679" s="20"/>
      <c r="X679" s="20"/>
      <c r="Y679" s="15"/>
      <c r="Z679" s="20"/>
      <c r="AA679" s="20"/>
      <c r="AB679" s="20"/>
      <c r="AC679" s="20"/>
      <c r="AD679" s="15"/>
      <c r="AF679" s="30"/>
      <c r="AG679" s="30"/>
      <c r="AH679" s="30"/>
      <c r="AI679" s="30"/>
      <c r="AJ679" s="30"/>
      <c r="AK679" s="30"/>
      <c r="AL679" s="30"/>
    </row>
    <row r="680" spans="1:54" s="44" customFormat="1" x14ac:dyDescent="0.25">
      <c r="A680" s="58"/>
      <c r="B680" s="49" t="s">
        <v>93</v>
      </c>
      <c r="C680" s="19" t="s">
        <v>238</v>
      </c>
      <c r="D680" s="13">
        <v>0</v>
      </c>
      <c r="E680" s="13">
        <v>11</v>
      </c>
      <c r="F680" s="13">
        <v>902</v>
      </c>
      <c r="G680" s="13">
        <v>81740</v>
      </c>
      <c r="H680" s="21"/>
      <c r="I680" s="20"/>
      <c r="J680" s="20">
        <f>J685+J688</f>
        <v>2248150</v>
      </c>
      <c r="K680" s="20"/>
      <c r="L680" s="20">
        <f>L685+L688</f>
        <v>2000000</v>
      </c>
      <c r="M680" s="20"/>
      <c r="N680" s="20"/>
      <c r="O680" s="20">
        <f>O685+O688+O681</f>
        <v>0</v>
      </c>
      <c r="P680" s="20">
        <f>P685+P688+P681</f>
        <v>-281541.40999999997</v>
      </c>
      <c r="Q680" s="20"/>
      <c r="R680" s="20">
        <f>R685+R688+R681</f>
        <v>-21438.59</v>
      </c>
      <c r="S680" s="20"/>
      <c r="T680" s="20">
        <f>T685+T688+T681</f>
        <v>4345090</v>
      </c>
      <c r="U680" s="20"/>
      <c r="V680" s="20"/>
      <c r="W680" s="20"/>
      <c r="X680" s="20"/>
      <c r="Y680" s="15"/>
      <c r="Z680" s="20"/>
      <c r="AA680" s="20"/>
      <c r="AB680" s="20"/>
      <c r="AC680" s="20"/>
      <c r="AD680" s="15"/>
      <c r="AF680" s="30"/>
      <c r="AG680" s="30"/>
      <c r="AH680" s="30"/>
      <c r="AI680" s="30"/>
      <c r="AJ680" s="30"/>
      <c r="AK680" s="30"/>
      <c r="AL680" s="30"/>
    </row>
    <row r="681" spans="1:54" s="44" customFormat="1" ht="22.5" x14ac:dyDescent="0.25">
      <c r="A681" s="58"/>
      <c r="B681" s="5" t="s">
        <v>26</v>
      </c>
      <c r="C681" s="2" t="s">
        <v>238</v>
      </c>
      <c r="D681" s="11">
        <v>0</v>
      </c>
      <c r="E681" s="11">
        <v>11</v>
      </c>
      <c r="F681" s="11">
        <v>902</v>
      </c>
      <c r="G681" s="11">
        <v>81740</v>
      </c>
      <c r="H681" s="21">
        <v>200</v>
      </c>
      <c r="I681" s="20"/>
      <c r="J681" s="20"/>
      <c r="K681" s="20"/>
      <c r="L681" s="20"/>
      <c r="M681" s="20"/>
      <c r="N681" s="20"/>
      <c r="O681" s="20">
        <f>O682</f>
        <v>2000000</v>
      </c>
      <c r="P681" s="20">
        <f>P682</f>
        <v>-302980</v>
      </c>
      <c r="Q681" s="20"/>
      <c r="R681" s="20"/>
      <c r="S681" s="20"/>
      <c r="T681" s="20">
        <f>T682</f>
        <v>2096940</v>
      </c>
      <c r="U681" s="20"/>
      <c r="V681" s="20"/>
      <c r="W681" s="20"/>
      <c r="X681" s="20"/>
      <c r="Y681" s="15"/>
      <c r="Z681" s="20"/>
      <c r="AA681" s="20"/>
      <c r="AB681" s="20"/>
      <c r="AC681" s="20"/>
      <c r="AD681" s="15"/>
      <c r="AF681" s="30"/>
      <c r="AG681" s="30"/>
      <c r="AH681" s="30"/>
      <c r="AI681" s="30"/>
      <c r="AJ681" s="30"/>
      <c r="AK681" s="30"/>
      <c r="AL681" s="30"/>
    </row>
    <row r="682" spans="1:54" s="44" customFormat="1" ht="22.5" x14ac:dyDescent="0.25">
      <c r="A682" s="58"/>
      <c r="B682" s="5" t="s">
        <v>28</v>
      </c>
      <c r="C682" s="2" t="s">
        <v>238</v>
      </c>
      <c r="D682" s="11">
        <v>0</v>
      </c>
      <c r="E682" s="11">
        <v>11</v>
      </c>
      <c r="F682" s="11">
        <v>902</v>
      </c>
      <c r="G682" s="11">
        <v>81740</v>
      </c>
      <c r="H682" s="21">
        <v>240</v>
      </c>
      <c r="I682" s="20"/>
      <c r="J682" s="20"/>
      <c r="K682" s="20"/>
      <c r="L682" s="20"/>
      <c r="M682" s="20"/>
      <c r="N682" s="20"/>
      <c r="O682" s="20">
        <f>O683</f>
        <v>2000000</v>
      </c>
      <c r="P682" s="20">
        <f>P683+P684</f>
        <v>-302980</v>
      </c>
      <c r="Q682" s="20"/>
      <c r="R682" s="20"/>
      <c r="S682" s="20"/>
      <c r="T682" s="20">
        <f>T683+T684</f>
        <v>2096940</v>
      </c>
      <c r="U682" s="20"/>
      <c r="V682" s="20"/>
      <c r="W682" s="20"/>
      <c r="X682" s="20"/>
      <c r="Y682" s="15"/>
      <c r="Z682" s="20"/>
      <c r="AA682" s="20"/>
      <c r="AB682" s="20"/>
      <c r="AC682" s="20"/>
      <c r="AD682" s="15"/>
      <c r="AF682" s="30"/>
      <c r="AG682" s="30"/>
      <c r="AH682" s="30"/>
      <c r="AI682" s="30"/>
      <c r="AJ682" s="30"/>
      <c r="AK682" s="30"/>
      <c r="AL682" s="30"/>
    </row>
    <row r="683" spans="1:54" s="44" customFormat="1" ht="22.5" x14ac:dyDescent="0.25">
      <c r="A683" s="58"/>
      <c r="B683" s="5" t="s">
        <v>254</v>
      </c>
      <c r="C683" s="2" t="s">
        <v>238</v>
      </c>
      <c r="D683" s="11">
        <v>0</v>
      </c>
      <c r="E683" s="11">
        <v>11</v>
      </c>
      <c r="F683" s="11">
        <v>902</v>
      </c>
      <c r="G683" s="11">
        <v>81740</v>
      </c>
      <c r="H683" s="21">
        <v>243</v>
      </c>
      <c r="I683" s="20"/>
      <c r="J683" s="20"/>
      <c r="K683" s="20"/>
      <c r="L683" s="20"/>
      <c r="M683" s="20"/>
      <c r="N683" s="20"/>
      <c r="O683" s="20">
        <v>2000000</v>
      </c>
      <c r="P683" s="20">
        <v>-560000</v>
      </c>
      <c r="Q683" s="20"/>
      <c r="R683" s="20"/>
      <c r="S683" s="20"/>
      <c r="T683" s="20">
        <f>O683+P683</f>
        <v>1440000</v>
      </c>
      <c r="U683" s="20"/>
      <c r="V683" s="20"/>
      <c r="W683" s="20"/>
      <c r="X683" s="20"/>
      <c r="Y683" s="15"/>
      <c r="Z683" s="20"/>
      <c r="AA683" s="20"/>
      <c r="AB683" s="20"/>
      <c r="AC683" s="20"/>
      <c r="AD683" s="15"/>
      <c r="AF683" s="30"/>
      <c r="AG683" s="30"/>
      <c r="AH683" s="30"/>
      <c r="AI683" s="30"/>
      <c r="AJ683" s="30"/>
      <c r="AK683" s="30"/>
      <c r="AL683" s="30"/>
    </row>
    <row r="684" spans="1:54" s="44" customFormat="1" ht="22.5" x14ac:dyDescent="0.25">
      <c r="A684" s="58"/>
      <c r="B684" s="5" t="s">
        <v>30</v>
      </c>
      <c r="C684" s="2" t="s">
        <v>238</v>
      </c>
      <c r="D684" s="11">
        <v>0</v>
      </c>
      <c r="E684" s="11">
        <v>11</v>
      </c>
      <c r="F684" s="11">
        <v>902</v>
      </c>
      <c r="G684" s="11">
        <v>81740</v>
      </c>
      <c r="H684" s="21">
        <v>244</v>
      </c>
      <c r="I684" s="20"/>
      <c r="J684" s="20"/>
      <c r="K684" s="20"/>
      <c r="L684" s="20"/>
      <c r="M684" s="20"/>
      <c r="N684" s="20"/>
      <c r="O684" s="20"/>
      <c r="P684" s="20">
        <v>257020</v>
      </c>
      <c r="Q684" s="20"/>
      <c r="R684" s="20"/>
      <c r="S684" s="20">
        <v>399920</v>
      </c>
      <c r="T684" s="20">
        <f>P684+S684</f>
        <v>656940</v>
      </c>
      <c r="U684" s="20"/>
      <c r="V684" s="20"/>
      <c r="W684" s="20"/>
      <c r="X684" s="20"/>
      <c r="Y684" s="15"/>
      <c r="Z684" s="20"/>
      <c r="AA684" s="20"/>
      <c r="AB684" s="20"/>
      <c r="AC684" s="20"/>
      <c r="AD684" s="15"/>
      <c r="AF684" s="30"/>
      <c r="AG684" s="30"/>
      <c r="AH684" s="30"/>
      <c r="AI684" s="30"/>
      <c r="AJ684" s="30"/>
      <c r="AK684" s="30"/>
      <c r="AL684" s="30"/>
    </row>
    <row r="685" spans="1:54" s="44" customFormat="1" ht="22.5" x14ac:dyDescent="0.25">
      <c r="A685" s="58"/>
      <c r="B685" s="5" t="s">
        <v>70</v>
      </c>
      <c r="C685" s="2" t="s">
        <v>238</v>
      </c>
      <c r="D685" s="11">
        <v>0</v>
      </c>
      <c r="E685" s="11">
        <v>11</v>
      </c>
      <c r="F685" s="11">
        <v>902</v>
      </c>
      <c r="G685" s="11">
        <v>81740</v>
      </c>
      <c r="H685" s="21">
        <v>400</v>
      </c>
      <c r="I685" s="20"/>
      <c r="J685" s="20">
        <f>J686</f>
        <v>1000000</v>
      </c>
      <c r="K685" s="20"/>
      <c r="L685" s="20">
        <f>L686</f>
        <v>2000000</v>
      </c>
      <c r="M685" s="20"/>
      <c r="N685" s="20"/>
      <c r="O685" s="20">
        <f t="shared" ref="O685:T686" si="134">O686</f>
        <v>-2000000</v>
      </c>
      <c r="P685" s="20">
        <f t="shared" si="134"/>
        <v>21438.59</v>
      </c>
      <c r="Q685" s="20"/>
      <c r="R685" s="20">
        <f t="shared" si="134"/>
        <v>-21438.59</v>
      </c>
      <c r="S685" s="20"/>
      <c r="T685" s="20">
        <f t="shared" si="134"/>
        <v>1000000</v>
      </c>
      <c r="U685" s="20"/>
      <c r="V685" s="20"/>
      <c r="W685" s="20"/>
      <c r="X685" s="20"/>
      <c r="Y685" s="15"/>
      <c r="Z685" s="20"/>
      <c r="AA685" s="20"/>
      <c r="AB685" s="20"/>
      <c r="AC685" s="20"/>
      <c r="AD685" s="15"/>
      <c r="AF685" s="30"/>
      <c r="AG685" s="30"/>
      <c r="AH685" s="30"/>
      <c r="AI685" s="30"/>
      <c r="AJ685" s="30"/>
      <c r="AK685" s="30"/>
      <c r="AL685" s="30"/>
    </row>
    <row r="686" spans="1:54" s="44" customFormat="1" x14ac:dyDescent="0.25">
      <c r="A686" s="58"/>
      <c r="B686" s="5" t="s">
        <v>71</v>
      </c>
      <c r="C686" s="2" t="s">
        <v>238</v>
      </c>
      <c r="D686" s="11">
        <v>0</v>
      </c>
      <c r="E686" s="11">
        <v>11</v>
      </c>
      <c r="F686" s="11">
        <v>902</v>
      </c>
      <c r="G686" s="11">
        <v>81740</v>
      </c>
      <c r="H686" s="21">
        <v>410</v>
      </c>
      <c r="I686" s="20"/>
      <c r="J686" s="20">
        <f>J687</f>
        <v>1000000</v>
      </c>
      <c r="K686" s="20"/>
      <c r="L686" s="20">
        <f>L687</f>
        <v>2000000</v>
      </c>
      <c r="M686" s="20"/>
      <c r="N686" s="20"/>
      <c r="O686" s="20">
        <f t="shared" si="134"/>
        <v>-2000000</v>
      </c>
      <c r="P686" s="20">
        <f t="shared" si="134"/>
        <v>21438.59</v>
      </c>
      <c r="Q686" s="20"/>
      <c r="R686" s="20">
        <f t="shared" si="134"/>
        <v>-21438.59</v>
      </c>
      <c r="S686" s="20"/>
      <c r="T686" s="20">
        <f t="shared" si="134"/>
        <v>1000000</v>
      </c>
      <c r="U686" s="20"/>
      <c r="V686" s="20"/>
      <c r="W686" s="20"/>
      <c r="X686" s="20"/>
      <c r="Y686" s="15"/>
      <c r="Z686" s="20"/>
      <c r="AA686" s="20"/>
      <c r="AB686" s="20"/>
      <c r="AC686" s="20"/>
      <c r="AD686" s="15"/>
      <c r="AF686" s="30"/>
      <c r="AG686" s="30"/>
      <c r="AH686" s="30"/>
      <c r="AI686" s="30"/>
      <c r="AJ686" s="30"/>
      <c r="AK686" s="30"/>
      <c r="AL686" s="30"/>
    </row>
    <row r="687" spans="1:54" s="44" customFormat="1" ht="33.75" x14ac:dyDescent="0.25">
      <c r="A687" s="58"/>
      <c r="B687" s="5" t="s">
        <v>94</v>
      </c>
      <c r="C687" s="2" t="s">
        <v>238</v>
      </c>
      <c r="D687" s="11">
        <v>0</v>
      </c>
      <c r="E687" s="11">
        <v>11</v>
      </c>
      <c r="F687" s="11">
        <v>902</v>
      </c>
      <c r="G687" s="11">
        <v>81740</v>
      </c>
      <c r="H687" s="21">
        <v>414</v>
      </c>
      <c r="I687" s="20"/>
      <c r="J687" s="20">
        <v>1000000</v>
      </c>
      <c r="K687" s="20"/>
      <c r="L687" s="20">
        <v>2000000</v>
      </c>
      <c r="M687" s="20"/>
      <c r="N687" s="20"/>
      <c r="O687" s="20">
        <v>-2000000</v>
      </c>
      <c r="P687" s="20">
        <v>21438.59</v>
      </c>
      <c r="Q687" s="20"/>
      <c r="R687" s="20">
        <v>-21438.59</v>
      </c>
      <c r="S687" s="20"/>
      <c r="T687" s="20">
        <f>J687+L687+O687+P687+R687</f>
        <v>1000000</v>
      </c>
      <c r="U687" s="20"/>
      <c r="V687" s="20"/>
      <c r="W687" s="20"/>
      <c r="X687" s="20"/>
      <c r="Y687" s="15"/>
      <c r="Z687" s="20"/>
      <c r="AA687" s="20"/>
      <c r="AB687" s="20"/>
      <c r="AC687" s="20"/>
      <c r="AD687" s="15"/>
      <c r="AF687" s="30"/>
      <c r="AG687" s="30"/>
      <c r="AH687" s="30"/>
      <c r="AI687" s="30"/>
      <c r="AJ687" s="30"/>
      <c r="AK687" s="30"/>
      <c r="AL687" s="30"/>
    </row>
    <row r="688" spans="1:54" s="44" customFormat="1" x14ac:dyDescent="0.25">
      <c r="A688" s="58"/>
      <c r="B688" s="5" t="s">
        <v>59</v>
      </c>
      <c r="C688" s="2" t="s">
        <v>238</v>
      </c>
      <c r="D688" s="11">
        <v>0</v>
      </c>
      <c r="E688" s="11">
        <v>11</v>
      </c>
      <c r="F688" s="11">
        <v>902</v>
      </c>
      <c r="G688" s="11">
        <v>81740</v>
      </c>
      <c r="H688" s="21">
        <v>800</v>
      </c>
      <c r="I688" s="20"/>
      <c r="J688" s="20">
        <f>J689</f>
        <v>1248150</v>
      </c>
      <c r="K688" s="20"/>
      <c r="L688" s="20"/>
      <c r="M688" s="20"/>
      <c r="N688" s="20"/>
      <c r="O688" s="20"/>
      <c r="P688" s="20"/>
      <c r="Q688" s="20"/>
      <c r="R688" s="20"/>
      <c r="S688" s="20"/>
      <c r="T688" s="20">
        <f>T689</f>
        <v>1248150</v>
      </c>
      <c r="U688" s="20"/>
      <c r="V688" s="20"/>
      <c r="W688" s="20"/>
      <c r="X688" s="20"/>
      <c r="Y688" s="15"/>
      <c r="Z688" s="20"/>
      <c r="AA688" s="20"/>
      <c r="AB688" s="20"/>
      <c r="AC688" s="20"/>
      <c r="AD688" s="15"/>
      <c r="AF688" s="30"/>
      <c r="AG688" s="30"/>
      <c r="AH688" s="30"/>
      <c r="AI688" s="30"/>
      <c r="AJ688" s="30"/>
      <c r="AK688" s="30"/>
      <c r="AL688" s="30"/>
    </row>
    <row r="689" spans="1:38" s="44" customFormat="1" ht="45" customHeight="1" x14ac:dyDescent="0.25">
      <c r="A689" s="58"/>
      <c r="B689" s="5" t="s">
        <v>86</v>
      </c>
      <c r="C689" s="2" t="s">
        <v>238</v>
      </c>
      <c r="D689" s="11">
        <v>0</v>
      </c>
      <c r="E689" s="11">
        <v>11</v>
      </c>
      <c r="F689" s="11">
        <v>902</v>
      </c>
      <c r="G689" s="11">
        <v>81740</v>
      </c>
      <c r="H689" s="21">
        <v>810</v>
      </c>
      <c r="I689" s="20"/>
      <c r="J689" s="20">
        <f>J691</f>
        <v>1248150</v>
      </c>
      <c r="K689" s="20"/>
      <c r="L689" s="20"/>
      <c r="M689" s="20"/>
      <c r="N689" s="20"/>
      <c r="O689" s="20"/>
      <c r="P689" s="20"/>
      <c r="Q689" s="20"/>
      <c r="R689" s="20"/>
      <c r="S689" s="20"/>
      <c r="T689" s="20">
        <f>T691+T690</f>
        <v>1248150</v>
      </c>
      <c r="U689" s="20"/>
      <c r="V689" s="20"/>
      <c r="W689" s="20"/>
      <c r="X689" s="20"/>
      <c r="Y689" s="15"/>
      <c r="Z689" s="20"/>
      <c r="AA689" s="20"/>
      <c r="AB689" s="20"/>
      <c r="AC689" s="20"/>
      <c r="AD689" s="15"/>
      <c r="AF689" s="30"/>
      <c r="AG689" s="30"/>
      <c r="AH689" s="30"/>
      <c r="AI689" s="30"/>
      <c r="AJ689" s="30"/>
      <c r="AK689" s="30"/>
      <c r="AL689" s="30"/>
    </row>
    <row r="690" spans="1:38" s="44" customFormat="1" ht="45" customHeight="1" x14ac:dyDescent="0.25">
      <c r="A690" s="58"/>
      <c r="B690" s="55" t="s">
        <v>87</v>
      </c>
      <c r="C690" s="2" t="s">
        <v>238</v>
      </c>
      <c r="D690" s="11">
        <v>0</v>
      </c>
      <c r="E690" s="11">
        <v>11</v>
      </c>
      <c r="F690" s="11">
        <v>902</v>
      </c>
      <c r="G690" s="11">
        <v>81740</v>
      </c>
      <c r="H690" s="21">
        <v>811</v>
      </c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>
        <v>1248150</v>
      </c>
      <c r="T690" s="20">
        <f>S690</f>
        <v>1248150</v>
      </c>
      <c r="U690" s="20"/>
      <c r="V690" s="20"/>
      <c r="W690" s="20"/>
      <c r="X690" s="20"/>
      <c r="Y690" s="15"/>
      <c r="Z690" s="20"/>
      <c r="AA690" s="20"/>
      <c r="AB690" s="20"/>
      <c r="AC690" s="20"/>
      <c r="AD690" s="15"/>
      <c r="AF690" s="30"/>
      <c r="AG690" s="30"/>
      <c r="AH690" s="30"/>
      <c r="AI690" s="30"/>
      <c r="AJ690" s="30"/>
      <c r="AK690" s="30"/>
      <c r="AL690" s="30"/>
    </row>
    <row r="691" spans="1:38" s="44" customFormat="1" ht="45" customHeight="1" x14ac:dyDescent="0.25">
      <c r="A691" s="58"/>
      <c r="B691" s="5" t="s">
        <v>247</v>
      </c>
      <c r="C691" s="2" t="s">
        <v>238</v>
      </c>
      <c r="D691" s="11">
        <v>0</v>
      </c>
      <c r="E691" s="11">
        <v>11</v>
      </c>
      <c r="F691" s="11">
        <v>902</v>
      </c>
      <c r="G691" s="11">
        <v>81740</v>
      </c>
      <c r="H691" s="21">
        <v>813</v>
      </c>
      <c r="I691" s="20"/>
      <c r="J691" s="20">
        <v>1248150</v>
      </c>
      <c r="K691" s="20"/>
      <c r="L691" s="20"/>
      <c r="M691" s="20"/>
      <c r="N691" s="20"/>
      <c r="O691" s="20"/>
      <c r="P691" s="20"/>
      <c r="Q691" s="20"/>
      <c r="R691" s="20"/>
      <c r="S691" s="20">
        <v>-1248150</v>
      </c>
      <c r="T691" s="20">
        <f>J691+S691</f>
        <v>0</v>
      </c>
      <c r="U691" s="20"/>
      <c r="V691" s="20"/>
      <c r="W691" s="20"/>
      <c r="X691" s="20"/>
      <c r="Y691" s="15"/>
      <c r="Z691" s="20"/>
      <c r="AA691" s="20"/>
      <c r="AB691" s="20"/>
      <c r="AC691" s="20"/>
      <c r="AD691" s="15"/>
      <c r="AF691" s="30"/>
      <c r="AG691" s="30"/>
      <c r="AH691" s="30"/>
      <c r="AI691" s="30"/>
      <c r="AJ691" s="30"/>
      <c r="AK691" s="30"/>
      <c r="AL691" s="30"/>
    </row>
    <row r="692" spans="1:38" s="44" customFormat="1" ht="45" hidden="1" customHeight="1" x14ac:dyDescent="0.25">
      <c r="A692" s="58"/>
      <c r="B692" s="5" t="s">
        <v>241</v>
      </c>
      <c r="C692" s="2" t="s">
        <v>238</v>
      </c>
      <c r="D692" s="11">
        <v>0</v>
      </c>
      <c r="E692" s="11">
        <v>11</v>
      </c>
      <c r="F692" s="11">
        <v>902</v>
      </c>
      <c r="G692" s="11">
        <v>81850</v>
      </c>
      <c r="H692" s="21"/>
      <c r="I692" s="20">
        <f>I693</f>
        <v>0</v>
      </c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>
        <f>T693</f>
        <v>0</v>
      </c>
      <c r="U692" s="20"/>
      <c r="V692" s="20"/>
      <c r="W692" s="20"/>
      <c r="X692" s="20"/>
      <c r="Y692" s="15"/>
      <c r="Z692" s="15"/>
      <c r="AA692" s="15"/>
      <c r="AB692" s="15"/>
      <c r="AC692" s="15"/>
      <c r="AD692" s="15"/>
      <c r="AF692" s="30"/>
      <c r="AG692" s="30"/>
      <c r="AH692" s="30"/>
      <c r="AI692" s="30"/>
      <c r="AJ692" s="30"/>
      <c r="AK692" s="30"/>
      <c r="AL692" s="30"/>
    </row>
    <row r="693" spans="1:38" s="44" customFormat="1" ht="45" hidden="1" customHeight="1" x14ac:dyDescent="0.25">
      <c r="A693" s="58"/>
      <c r="B693" s="5" t="s">
        <v>26</v>
      </c>
      <c r="C693" s="2" t="s">
        <v>238</v>
      </c>
      <c r="D693" s="11">
        <v>0</v>
      </c>
      <c r="E693" s="11">
        <v>11</v>
      </c>
      <c r="F693" s="11">
        <v>902</v>
      </c>
      <c r="G693" s="11">
        <v>81850</v>
      </c>
      <c r="H693" s="21">
        <v>200</v>
      </c>
      <c r="I693" s="20">
        <f>I694</f>
        <v>0</v>
      </c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>
        <f>T694</f>
        <v>0</v>
      </c>
      <c r="U693" s="20"/>
      <c r="V693" s="20"/>
      <c r="W693" s="20"/>
      <c r="X693" s="20"/>
      <c r="Y693" s="15"/>
      <c r="Z693" s="15"/>
      <c r="AA693" s="15"/>
      <c r="AB693" s="15"/>
      <c r="AC693" s="15"/>
      <c r="AD693" s="15"/>
      <c r="AF693" s="30"/>
      <c r="AG693" s="30"/>
      <c r="AH693" s="30"/>
      <c r="AI693" s="30"/>
      <c r="AJ693" s="30"/>
      <c r="AK693" s="30"/>
      <c r="AL693" s="30"/>
    </row>
    <row r="694" spans="1:38" s="44" customFormat="1" ht="45" hidden="1" customHeight="1" x14ac:dyDescent="0.25">
      <c r="A694" s="58"/>
      <c r="B694" s="5" t="s">
        <v>28</v>
      </c>
      <c r="C694" s="2" t="s">
        <v>238</v>
      </c>
      <c r="D694" s="11">
        <v>0</v>
      </c>
      <c r="E694" s="11">
        <v>11</v>
      </c>
      <c r="F694" s="11">
        <v>902</v>
      </c>
      <c r="G694" s="11">
        <v>81850</v>
      </c>
      <c r="H694" s="21">
        <v>240</v>
      </c>
      <c r="I694" s="20">
        <f>I695</f>
        <v>0</v>
      </c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>
        <f>T695</f>
        <v>0</v>
      </c>
      <c r="U694" s="20"/>
      <c r="V694" s="20"/>
      <c r="W694" s="20"/>
      <c r="X694" s="20"/>
      <c r="Y694" s="15"/>
      <c r="Z694" s="15"/>
      <c r="AA694" s="15"/>
      <c r="AB694" s="15"/>
      <c r="AC694" s="15"/>
      <c r="AD694" s="15"/>
      <c r="AF694" s="30"/>
      <c r="AG694" s="30"/>
      <c r="AH694" s="30"/>
      <c r="AI694" s="30"/>
      <c r="AJ694" s="30"/>
      <c r="AK694" s="30"/>
      <c r="AL694" s="30"/>
    </row>
    <row r="695" spans="1:38" s="44" customFormat="1" ht="45" hidden="1" customHeight="1" x14ac:dyDescent="0.25">
      <c r="A695" s="58"/>
      <c r="B695" s="5" t="s">
        <v>30</v>
      </c>
      <c r="C695" s="2" t="s">
        <v>238</v>
      </c>
      <c r="D695" s="11">
        <v>0</v>
      </c>
      <c r="E695" s="11">
        <v>11</v>
      </c>
      <c r="F695" s="11">
        <v>902</v>
      </c>
      <c r="G695" s="11">
        <v>81850</v>
      </c>
      <c r="H695" s="21">
        <v>244</v>
      </c>
      <c r="I695" s="20">
        <v>0</v>
      </c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>
        <v>0</v>
      </c>
      <c r="U695" s="20"/>
      <c r="V695" s="20"/>
      <c r="W695" s="20"/>
      <c r="X695" s="20"/>
      <c r="Y695" s="15"/>
      <c r="Z695" s="15"/>
      <c r="AA695" s="15"/>
      <c r="AB695" s="15"/>
      <c r="AC695" s="15"/>
      <c r="AD695" s="15"/>
      <c r="AF695" s="30"/>
      <c r="AG695" s="30"/>
      <c r="AH695" s="30"/>
      <c r="AI695" s="30"/>
      <c r="AJ695" s="30"/>
      <c r="AK695" s="30"/>
      <c r="AL695" s="30"/>
    </row>
    <row r="696" spans="1:38" s="44" customFormat="1" ht="45" customHeight="1" x14ac:dyDescent="0.25">
      <c r="A696" s="58"/>
      <c r="B696" s="49" t="s">
        <v>256</v>
      </c>
      <c r="C696" s="19" t="s">
        <v>238</v>
      </c>
      <c r="D696" s="13">
        <v>0</v>
      </c>
      <c r="E696" s="13">
        <v>11</v>
      </c>
      <c r="F696" s="13">
        <v>902</v>
      </c>
      <c r="G696" s="13">
        <v>83260</v>
      </c>
      <c r="H696" s="14"/>
      <c r="I696" s="20"/>
      <c r="J696" s="20"/>
      <c r="K696" s="20"/>
      <c r="L696" s="20">
        <f t="shared" ref="L696:T698" si="135">L697</f>
        <v>298000</v>
      </c>
      <c r="M696" s="20"/>
      <c r="N696" s="20"/>
      <c r="O696" s="20"/>
      <c r="P696" s="20"/>
      <c r="Q696" s="20"/>
      <c r="R696" s="20"/>
      <c r="S696" s="20"/>
      <c r="T696" s="20">
        <f t="shared" si="135"/>
        <v>298000</v>
      </c>
      <c r="U696" s="20"/>
      <c r="V696" s="20"/>
      <c r="W696" s="20"/>
      <c r="X696" s="20"/>
      <c r="Y696" s="15">
        <f>Y697</f>
        <v>300000</v>
      </c>
      <c r="Z696" s="15"/>
      <c r="AA696" s="15"/>
      <c r="AB696" s="15"/>
      <c r="AC696" s="15"/>
      <c r="AD696" s="15">
        <f>AD697</f>
        <v>300000</v>
      </c>
      <c r="AF696" s="30"/>
      <c r="AG696" s="30"/>
      <c r="AH696" s="30"/>
      <c r="AI696" s="30"/>
      <c r="AJ696" s="30"/>
      <c r="AK696" s="30"/>
      <c r="AL696" s="30"/>
    </row>
    <row r="697" spans="1:38" s="44" customFormat="1" ht="45" customHeight="1" x14ac:dyDescent="0.25">
      <c r="A697" s="58"/>
      <c r="B697" s="5" t="s">
        <v>26</v>
      </c>
      <c r="C697" s="2" t="s">
        <v>238</v>
      </c>
      <c r="D697" s="11">
        <v>0</v>
      </c>
      <c r="E697" s="11">
        <v>11</v>
      </c>
      <c r="F697" s="11">
        <v>902</v>
      </c>
      <c r="G697" s="11">
        <v>83260</v>
      </c>
      <c r="H697" s="21">
        <v>200</v>
      </c>
      <c r="I697" s="20"/>
      <c r="J697" s="20"/>
      <c r="K697" s="20"/>
      <c r="L697" s="20">
        <f t="shared" si="135"/>
        <v>298000</v>
      </c>
      <c r="M697" s="20"/>
      <c r="N697" s="20"/>
      <c r="O697" s="20"/>
      <c r="P697" s="20"/>
      <c r="Q697" s="20"/>
      <c r="R697" s="20"/>
      <c r="S697" s="20"/>
      <c r="T697" s="20">
        <f t="shared" si="135"/>
        <v>298000</v>
      </c>
      <c r="U697" s="20"/>
      <c r="V697" s="20"/>
      <c r="W697" s="20"/>
      <c r="X697" s="20"/>
      <c r="Y697" s="15">
        <f>Y698</f>
        <v>300000</v>
      </c>
      <c r="Z697" s="15"/>
      <c r="AA697" s="15"/>
      <c r="AB697" s="15"/>
      <c r="AC697" s="15"/>
      <c r="AD697" s="15">
        <f>AD698</f>
        <v>300000</v>
      </c>
      <c r="AF697" s="30"/>
      <c r="AG697" s="30"/>
      <c r="AH697" s="30"/>
      <c r="AI697" s="30"/>
      <c r="AJ697" s="30"/>
      <c r="AK697" s="30"/>
      <c r="AL697" s="30"/>
    </row>
    <row r="698" spans="1:38" s="44" customFormat="1" ht="45" customHeight="1" x14ac:dyDescent="0.25">
      <c r="A698" s="58"/>
      <c r="B698" s="5" t="s">
        <v>28</v>
      </c>
      <c r="C698" s="2" t="s">
        <v>238</v>
      </c>
      <c r="D698" s="11">
        <v>0</v>
      </c>
      <c r="E698" s="11">
        <v>11</v>
      </c>
      <c r="F698" s="11">
        <v>902</v>
      </c>
      <c r="G698" s="11">
        <v>83260</v>
      </c>
      <c r="H698" s="21">
        <v>240</v>
      </c>
      <c r="I698" s="20"/>
      <c r="J698" s="20"/>
      <c r="K698" s="20"/>
      <c r="L698" s="20">
        <f t="shared" si="135"/>
        <v>298000</v>
      </c>
      <c r="M698" s="20"/>
      <c r="N698" s="20"/>
      <c r="O698" s="20"/>
      <c r="P698" s="20"/>
      <c r="Q698" s="20"/>
      <c r="R698" s="20"/>
      <c r="S698" s="20"/>
      <c r="T698" s="20">
        <f t="shared" si="135"/>
        <v>298000</v>
      </c>
      <c r="U698" s="20"/>
      <c r="V698" s="20"/>
      <c r="W698" s="20"/>
      <c r="X698" s="20"/>
      <c r="Y698" s="15">
        <f>Y699</f>
        <v>300000</v>
      </c>
      <c r="Z698" s="15"/>
      <c r="AA698" s="15"/>
      <c r="AB698" s="15"/>
      <c r="AC698" s="15"/>
      <c r="AD698" s="15">
        <f>AD699</f>
        <v>300000</v>
      </c>
      <c r="AF698" s="30"/>
      <c r="AG698" s="30"/>
      <c r="AH698" s="30"/>
      <c r="AI698" s="30"/>
      <c r="AJ698" s="30"/>
      <c r="AK698" s="30"/>
      <c r="AL698" s="30"/>
    </row>
    <row r="699" spans="1:38" s="44" customFormat="1" ht="45" customHeight="1" x14ac:dyDescent="0.25">
      <c r="A699" s="58"/>
      <c r="B699" s="5" t="s">
        <v>30</v>
      </c>
      <c r="C699" s="2" t="s">
        <v>238</v>
      </c>
      <c r="D699" s="11">
        <v>0</v>
      </c>
      <c r="E699" s="11">
        <v>11</v>
      </c>
      <c r="F699" s="11">
        <v>902</v>
      </c>
      <c r="G699" s="11">
        <v>83260</v>
      </c>
      <c r="H699" s="21">
        <v>244</v>
      </c>
      <c r="I699" s="20"/>
      <c r="J699" s="20"/>
      <c r="K699" s="20"/>
      <c r="L699" s="20">
        <v>298000</v>
      </c>
      <c r="M699" s="20"/>
      <c r="N699" s="20"/>
      <c r="O699" s="20"/>
      <c r="P699" s="20"/>
      <c r="Q699" s="20"/>
      <c r="R699" s="20"/>
      <c r="S699" s="20"/>
      <c r="T699" s="20">
        <f>L699</f>
        <v>298000</v>
      </c>
      <c r="U699" s="20">
        <v>300000</v>
      </c>
      <c r="V699" s="20"/>
      <c r="W699" s="20"/>
      <c r="X699" s="20"/>
      <c r="Y699" s="15">
        <f>U699</f>
        <v>300000</v>
      </c>
      <c r="Z699" s="20">
        <v>300000</v>
      </c>
      <c r="AA699" s="20"/>
      <c r="AB699" s="20"/>
      <c r="AC699" s="20"/>
      <c r="AD699" s="15">
        <f>Z699</f>
        <v>300000</v>
      </c>
      <c r="AF699" s="30"/>
      <c r="AG699" s="30"/>
      <c r="AH699" s="30"/>
      <c r="AI699" s="30"/>
      <c r="AJ699" s="30"/>
      <c r="AK699" s="30"/>
      <c r="AL699" s="30"/>
    </row>
    <row r="700" spans="1:38" ht="69.75" customHeight="1" x14ac:dyDescent="0.25">
      <c r="A700" s="58" t="s">
        <v>242</v>
      </c>
      <c r="B700" s="3" t="s">
        <v>323</v>
      </c>
      <c r="C700" s="19" t="s">
        <v>238</v>
      </c>
      <c r="D700" s="13">
        <v>1</v>
      </c>
      <c r="E700" s="13"/>
      <c r="F700" s="13"/>
      <c r="G700" s="13"/>
      <c r="H700" s="14"/>
      <c r="I700" s="15">
        <f t="shared" ref="I700:AD701" si="136">I701</f>
        <v>0</v>
      </c>
      <c r="J700" s="15"/>
      <c r="K700" s="15">
        <f t="shared" si="136"/>
        <v>2000000</v>
      </c>
      <c r="L700" s="15">
        <f t="shared" si="136"/>
        <v>-2000000</v>
      </c>
      <c r="M700" s="15"/>
      <c r="N700" s="15"/>
      <c r="O700" s="15"/>
      <c r="P700" s="15"/>
      <c r="Q700" s="15"/>
      <c r="R700" s="15"/>
      <c r="S700" s="15"/>
      <c r="T700" s="15">
        <f t="shared" si="136"/>
        <v>0</v>
      </c>
      <c r="U700" s="15"/>
      <c r="V700" s="15"/>
      <c r="W700" s="15"/>
      <c r="X700" s="15"/>
      <c r="Y700" s="15">
        <f t="shared" si="136"/>
        <v>0</v>
      </c>
      <c r="Z700" s="15"/>
      <c r="AA700" s="15"/>
      <c r="AB700" s="15"/>
      <c r="AC700" s="15"/>
      <c r="AD700" s="15">
        <f t="shared" si="136"/>
        <v>0</v>
      </c>
    </row>
    <row r="701" spans="1:38" ht="60.75" customHeight="1" x14ac:dyDescent="0.25">
      <c r="A701" s="58" t="s">
        <v>243</v>
      </c>
      <c r="B701" s="3" t="s">
        <v>243</v>
      </c>
      <c r="C701" s="19" t="s">
        <v>238</v>
      </c>
      <c r="D701" s="13">
        <v>1</v>
      </c>
      <c r="E701" s="13">
        <v>11</v>
      </c>
      <c r="F701" s="13"/>
      <c r="G701" s="13"/>
      <c r="H701" s="14"/>
      <c r="I701" s="15">
        <f t="shared" si="136"/>
        <v>0</v>
      </c>
      <c r="J701" s="15"/>
      <c r="K701" s="15">
        <f t="shared" si="136"/>
        <v>2000000</v>
      </c>
      <c r="L701" s="15">
        <f t="shared" si="136"/>
        <v>-2000000</v>
      </c>
      <c r="M701" s="15"/>
      <c r="N701" s="15"/>
      <c r="O701" s="15"/>
      <c r="P701" s="15"/>
      <c r="Q701" s="15"/>
      <c r="R701" s="15"/>
      <c r="S701" s="15"/>
      <c r="T701" s="15">
        <f t="shared" si="136"/>
        <v>0</v>
      </c>
      <c r="U701" s="15"/>
      <c r="V701" s="15"/>
      <c r="W701" s="15"/>
      <c r="X701" s="15"/>
      <c r="Y701" s="15">
        <f t="shared" si="136"/>
        <v>0</v>
      </c>
      <c r="Z701" s="15"/>
      <c r="AA701" s="15"/>
      <c r="AB701" s="15"/>
      <c r="AC701" s="15"/>
      <c r="AD701" s="15">
        <f t="shared" si="136"/>
        <v>0</v>
      </c>
    </row>
    <row r="702" spans="1:38" x14ac:dyDescent="0.25">
      <c r="A702" s="3" t="s">
        <v>20</v>
      </c>
      <c r="B702" s="3" t="s">
        <v>20</v>
      </c>
      <c r="C702" s="19" t="s">
        <v>238</v>
      </c>
      <c r="D702" s="13">
        <v>1</v>
      </c>
      <c r="E702" s="13">
        <v>11</v>
      </c>
      <c r="F702" s="13">
        <v>902</v>
      </c>
      <c r="G702" s="13"/>
      <c r="H702" s="14"/>
      <c r="I702" s="15">
        <f>I714+I718+I722+I707+I703</f>
        <v>0</v>
      </c>
      <c r="J702" s="15"/>
      <c r="K702" s="15">
        <f>K714+K718+K722+K707+K703</f>
        <v>2000000</v>
      </c>
      <c r="L702" s="15">
        <f>L714+L718+L722+L707+L703</f>
        <v>-2000000</v>
      </c>
      <c r="M702" s="15"/>
      <c r="N702" s="15"/>
      <c r="O702" s="15"/>
      <c r="P702" s="15"/>
      <c r="Q702" s="15"/>
      <c r="R702" s="15"/>
      <c r="S702" s="15"/>
      <c r="T702" s="15">
        <f>T714+T718+T722+T707+T703</f>
        <v>0</v>
      </c>
      <c r="U702" s="15"/>
      <c r="V702" s="15"/>
      <c r="W702" s="15"/>
      <c r="X702" s="15"/>
      <c r="Y702" s="15">
        <f>Y714+Y718+Y722+Y707+Y703</f>
        <v>0</v>
      </c>
      <c r="Z702" s="15"/>
      <c r="AA702" s="15"/>
      <c r="AB702" s="15"/>
      <c r="AC702" s="15"/>
      <c r="AD702" s="15">
        <f>AD714+AD718+AD722+AD707+AD703</f>
        <v>0</v>
      </c>
    </row>
    <row r="703" spans="1:38" ht="31.5" hidden="1" x14ac:dyDescent="0.25">
      <c r="A703" s="3" t="s">
        <v>244</v>
      </c>
      <c r="B703" s="3" t="s">
        <v>245</v>
      </c>
      <c r="C703" s="19" t="s">
        <v>238</v>
      </c>
      <c r="D703" s="13">
        <v>1</v>
      </c>
      <c r="E703" s="13" t="s">
        <v>246</v>
      </c>
      <c r="F703" s="13">
        <v>902</v>
      </c>
      <c r="G703" s="13">
        <v>52430</v>
      </c>
      <c r="H703" s="14"/>
      <c r="I703" s="15">
        <f t="shared" ref="I703:AD705" si="137">I704</f>
        <v>0</v>
      </c>
      <c r="J703" s="15"/>
      <c r="K703" s="15">
        <f t="shared" si="137"/>
        <v>0</v>
      </c>
      <c r="L703" s="15">
        <f t="shared" si="137"/>
        <v>0</v>
      </c>
      <c r="M703" s="15"/>
      <c r="N703" s="15"/>
      <c r="O703" s="15"/>
      <c r="P703" s="15"/>
      <c r="Q703" s="15"/>
      <c r="R703" s="15"/>
      <c r="S703" s="15"/>
      <c r="T703" s="15">
        <f t="shared" si="137"/>
        <v>0</v>
      </c>
      <c r="U703" s="15"/>
      <c r="V703" s="15"/>
      <c r="W703" s="15"/>
      <c r="X703" s="15"/>
      <c r="Y703" s="15">
        <f t="shared" si="137"/>
        <v>0</v>
      </c>
      <c r="Z703" s="15"/>
      <c r="AA703" s="15"/>
      <c r="AB703" s="15"/>
      <c r="AC703" s="15"/>
      <c r="AD703" s="15">
        <f t="shared" si="137"/>
        <v>0</v>
      </c>
    </row>
    <row r="704" spans="1:38" ht="33.75" hidden="1" x14ac:dyDescent="0.25">
      <c r="A704" s="5" t="s">
        <v>70</v>
      </c>
      <c r="B704" s="5" t="s">
        <v>70</v>
      </c>
      <c r="C704" s="2" t="s">
        <v>238</v>
      </c>
      <c r="D704" s="11">
        <v>1</v>
      </c>
      <c r="E704" s="11" t="s">
        <v>246</v>
      </c>
      <c r="F704" s="11">
        <v>902</v>
      </c>
      <c r="G704" s="11">
        <v>52430</v>
      </c>
      <c r="H704" s="21">
        <v>400</v>
      </c>
      <c r="I704" s="20">
        <f t="shared" si="137"/>
        <v>0</v>
      </c>
      <c r="J704" s="20"/>
      <c r="K704" s="20">
        <f t="shared" si="137"/>
        <v>0</v>
      </c>
      <c r="L704" s="20">
        <f t="shared" si="137"/>
        <v>0</v>
      </c>
      <c r="M704" s="20"/>
      <c r="N704" s="20"/>
      <c r="O704" s="20"/>
      <c r="P704" s="20"/>
      <c r="Q704" s="20"/>
      <c r="R704" s="20"/>
      <c r="S704" s="20"/>
      <c r="T704" s="20">
        <f t="shared" si="137"/>
        <v>0</v>
      </c>
      <c r="U704" s="20"/>
      <c r="V704" s="20"/>
      <c r="W704" s="20"/>
      <c r="X704" s="20"/>
      <c r="Y704" s="20">
        <f t="shared" si="137"/>
        <v>0</v>
      </c>
      <c r="Z704" s="20"/>
      <c r="AA704" s="20"/>
      <c r="AB704" s="20"/>
      <c r="AC704" s="20"/>
      <c r="AD704" s="20">
        <f t="shared" si="137"/>
        <v>0</v>
      </c>
    </row>
    <row r="705" spans="1:38" s="44" customFormat="1" hidden="1" x14ac:dyDescent="0.25">
      <c r="A705" s="5" t="s">
        <v>71</v>
      </c>
      <c r="B705" s="5" t="s">
        <v>71</v>
      </c>
      <c r="C705" s="2" t="s">
        <v>238</v>
      </c>
      <c r="D705" s="11">
        <v>1</v>
      </c>
      <c r="E705" s="11" t="s">
        <v>246</v>
      </c>
      <c r="F705" s="11">
        <v>902</v>
      </c>
      <c r="G705" s="11">
        <v>52430</v>
      </c>
      <c r="H705" s="21">
        <v>410</v>
      </c>
      <c r="I705" s="20">
        <f t="shared" si="137"/>
        <v>0</v>
      </c>
      <c r="J705" s="20"/>
      <c r="K705" s="20">
        <f t="shared" si="137"/>
        <v>0</v>
      </c>
      <c r="L705" s="20">
        <f t="shared" si="137"/>
        <v>0</v>
      </c>
      <c r="M705" s="20"/>
      <c r="N705" s="20"/>
      <c r="O705" s="20"/>
      <c r="P705" s="20"/>
      <c r="Q705" s="20"/>
      <c r="R705" s="20"/>
      <c r="S705" s="20"/>
      <c r="T705" s="20">
        <f t="shared" si="137"/>
        <v>0</v>
      </c>
      <c r="U705" s="20"/>
      <c r="V705" s="20"/>
      <c r="W705" s="20"/>
      <c r="X705" s="20"/>
      <c r="Y705" s="20">
        <f t="shared" si="137"/>
        <v>0</v>
      </c>
      <c r="Z705" s="20"/>
      <c r="AA705" s="20"/>
      <c r="AB705" s="20"/>
      <c r="AC705" s="20"/>
      <c r="AD705" s="20">
        <f t="shared" si="137"/>
        <v>0</v>
      </c>
      <c r="AF705" s="30"/>
      <c r="AG705" s="30"/>
      <c r="AH705" s="30"/>
      <c r="AI705" s="30"/>
      <c r="AJ705" s="30"/>
      <c r="AK705" s="30"/>
      <c r="AL705" s="30"/>
    </row>
    <row r="706" spans="1:38" s="44" customFormat="1" ht="45" hidden="1" x14ac:dyDescent="0.25">
      <c r="A706" s="5" t="s">
        <v>94</v>
      </c>
      <c r="B706" s="5" t="s">
        <v>94</v>
      </c>
      <c r="C706" s="2" t="s">
        <v>238</v>
      </c>
      <c r="D706" s="11">
        <v>1</v>
      </c>
      <c r="E706" s="11" t="s">
        <v>246</v>
      </c>
      <c r="F706" s="11">
        <v>902</v>
      </c>
      <c r="G706" s="11">
        <v>52430</v>
      </c>
      <c r="H706" s="21">
        <v>414</v>
      </c>
      <c r="I706" s="20">
        <v>0</v>
      </c>
      <c r="J706" s="20"/>
      <c r="K706" s="20">
        <v>0</v>
      </c>
      <c r="L706" s="20">
        <v>0</v>
      </c>
      <c r="M706" s="20"/>
      <c r="N706" s="20"/>
      <c r="O706" s="20"/>
      <c r="P706" s="20"/>
      <c r="Q706" s="20"/>
      <c r="R706" s="20"/>
      <c r="S706" s="20"/>
      <c r="T706" s="20">
        <v>0</v>
      </c>
      <c r="U706" s="20"/>
      <c r="V706" s="20"/>
      <c r="W706" s="20"/>
      <c r="X706" s="20"/>
      <c r="Y706" s="20">
        <v>0</v>
      </c>
      <c r="Z706" s="20"/>
      <c r="AA706" s="20"/>
      <c r="AB706" s="20"/>
      <c r="AC706" s="20"/>
      <c r="AD706" s="20">
        <v>0</v>
      </c>
      <c r="AF706" s="30"/>
      <c r="AG706" s="30"/>
      <c r="AH706" s="30"/>
      <c r="AI706" s="30"/>
      <c r="AJ706" s="30"/>
      <c r="AK706" s="30"/>
      <c r="AL706" s="30"/>
    </row>
    <row r="707" spans="1:38" s="44" customFormat="1" x14ac:dyDescent="0.25">
      <c r="A707" s="5"/>
      <c r="B707" s="49" t="s">
        <v>93</v>
      </c>
      <c r="C707" s="19" t="s">
        <v>238</v>
      </c>
      <c r="D707" s="13">
        <v>1</v>
      </c>
      <c r="E707" s="13">
        <v>11</v>
      </c>
      <c r="F707" s="13">
        <v>902</v>
      </c>
      <c r="G707" s="13">
        <v>81740</v>
      </c>
      <c r="H707" s="14"/>
      <c r="I707" s="20">
        <f>I711+I708</f>
        <v>0</v>
      </c>
      <c r="J707" s="15"/>
      <c r="K707" s="20">
        <f>K711+K708</f>
        <v>2000000</v>
      </c>
      <c r="L707" s="20">
        <f>L711+L708</f>
        <v>-2000000</v>
      </c>
      <c r="M707" s="20"/>
      <c r="N707" s="20"/>
      <c r="O707" s="20"/>
      <c r="P707" s="20"/>
      <c r="Q707" s="20"/>
      <c r="R707" s="20"/>
      <c r="S707" s="20"/>
      <c r="T707" s="20">
        <f>T711+T708</f>
        <v>0</v>
      </c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F707" s="30"/>
      <c r="AG707" s="30"/>
      <c r="AH707" s="30"/>
      <c r="AI707" s="30"/>
      <c r="AJ707" s="30"/>
      <c r="AK707" s="30"/>
      <c r="AL707" s="30"/>
    </row>
    <row r="708" spans="1:38" s="44" customFormat="1" ht="22.5" x14ac:dyDescent="0.25">
      <c r="A708" s="5"/>
      <c r="B708" s="5" t="s">
        <v>70</v>
      </c>
      <c r="C708" s="2" t="s">
        <v>238</v>
      </c>
      <c r="D708" s="11">
        <v>1</v>
      </c>
      <c r="E708" s="11">
        <v>11</v>
      </c>
      <c r="F708" s="11">
        <v>902</v>
      </c>
      <c r="G708" s="11">
        <v>81740</v>
      </c>
      <c r="H708" s="21">
        <v>400</v>
      </c>
      <c r="I708" s="20">
        <f>I709</f>
        <v>0</v>
      </c>
      <c r="J708" s="20"/>
      <c r="K708" s="20">
        <f t="shared" ref="K708:T709" si="138">K709</f>
        <v>2000000</v>
      </c>
      <c r="L708" s="20">
        <f t="shared" si="138"/>
        <v>-2000000</v>
      </c>
      <c r="M708" s="20"/>
      <c r="N708" s="20"/>
      <c r="O708" s="20"/>
      <c r="P708" s="20"/>
      <c r="Q708" s="20"/>
      <c r="R708" s="20"/>
      <c r="S708" s="20"/>
      <c r="T708" s="20">
        <f t="shared" si="138"/>
        <v>0</v>
      </c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F708" s="30"/>
      <c r="AG708" s="30"/>
      <c r="AH708" s="30"/>
      <c r="AI708" s="30"/>
      <c r="AJ708" s="30"/>
      <c r="AK708" s="30"/>
      <c r="AL708" s="30"/>
    </row>
    <row r="709" spans="1:38" s="44" customFormat="1" x14ac:dyDescent="0.25">
      <c r="A709" s="5"/>
      <c r="B709" s="5" t="s">
        <v>71</v>
      </c>
      <c r="C709" s="2" t="s">
        <v>238</v>
      </c>
      <c r="D709" s="11">
        <v>1</v>
      </c>
      <c r="E709" s="11">
        <v>11</v>
      </c>
      <c r="F709" s="11">
        <v>902</v>
      </c>
      <c r="G709" s="11">
        <v>81740</v>
      </c>
      <c r="H709" s="21">
        <v>410</v>
      </c>
      <c r="I709" s="20">
        <f>I710</f>
        <v>0</v>
      </c>
      <c r="J709" s="20"/>
      <c r="K709" s="20">
        <f t="shared" si="138"/>
        <v>2000000</v>
      </c>
      <c r="L709" s="20">
        <f t="shared" si="138"/>
        <v>-2000000</v>
      </c>
      <c r="M709" s="20"/>
      <c r="N709" s="20"/>
      <c r="O709" s="20"/>
      <c r="P709" s="20"/>
      <c r="Q709" s="20"/>
      <c r="R709" s="20"/>
      <c r="S709" s="20"/>
      <c r="T709" s="20">
        <f t="shared" si="138"/>
        <v>0</v>
      </c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F709" s="30"/>
      <c r="AG709" s="30"/>
      <c r="AH709" s="30"/>
      <c r="AI709" s="30"/>
      <c r="AJ709" s="30"/>
      <c r="AK709" s="30"/>
      <c r="AL709" s="30"/>
    </row>
    <row r="710" spans="1:38" s="44" customFormat="1" ht="33.75" x14ac:dyDescent="0.25">
      <c r="A710" s="5"/>
      <c r="B710" s="5" t="s">
        <v>94</v>
      </c>
      <c r="C710" s="2" t="s">
        <v>238</v>
      </c>
      <c r="D710" s="11">
        <v>1</v>
      </c>
      <c r="E710" s="11">
        <v>11</v>
      </c>
      <c r="F710" s="11">
        <v>902</v>
      </c>
      <c r="G710" s="11">
        <v>81740</v>
      </c>
      <c r="H710" s="21">
        <v>414</v>
      </c>
      <c r="I710" s="20">
        <v>0</v>
      </c>
      <c r="J710" s="20">
        <v>0</v>
      </c>
      <c r="K710" s="20">
        <v>2000000</v>
      </c>
      <c r="L710" s="20">
        <v>-2000000</v>
      </c>
      <c r="M710" s="20"/>
      <c r="N710" s="20"/>
      <c r="O710" s="20"/>
      <c r="P710" s="20"/>
      <c r="Q710" s="20"/>
      <c r="R710" s="20"/>
      <c r="S710" s="20"/>
      <c r="T710" s="20">
        <f>K710+L710</f>
        <v>0</v>
      </c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F710" s="30"/>
      <c r="AG710" s="30"/>
      <c r="AH710" s="30"/>
      <c r="AI710" s="30"/>
      <c r="AJ710" s="30"/>
      <c r="AK710" s="30"/>
      <c r="AL710" s="30"/>
    </row>
    <row r="711" spans="1:38" s="44" customFormat="1" x14ac:dyDescent="0.25">
      <c r="A711" s="5"/>
      <c r="B711" s="5" t="s">
        <v>59</v>
      </c>
      <c r="C711" s="2" t="s">
        <v>238</v>
      </c>
      <c r="D711" s="11">
        <v>1</v>
      </c>
      <c r="E711" s="11">
        <v>11</v>
      </c>
      <c r="F711" s="11">
        <v>902</v>
      </c>
      <c r="G711" s="11">
        <v>81740</v>
      </c>
      <c r="H711" s="21">
        <v>800</v>
      </c>
      <c r="I711" s="20">
        <f>I712</f>
        <v>0</v>
      </c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>
        <f>T712</f>
        <v>0</v>
      </c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F711" s="30"/>
      <c r="AG711" s="30"/>
      <c r="AH711" s="30"/>
      <c r="AI711" s="30"/>
      <c r="AJ711" s="30"/>
      <c r="AK711" s="30"/>
      <c r="AL711" s="30"/>
    </row>
    <row r="712" spans="1:38" s="44" customFormat="1" ht="45" x14ac:dyDescent="0.25">
      <c r="A712" s="5"/>
      <c r="B712" s="5" t="s">
        <v>86</v>
      </c>
      <c r="C712" s="2" t="s">
        <v>238</v>
      </c>
      <c r="D712" s="11">
        <v>1</v>
      </c>
      <c r="E712" s="11">
        <v>11</v>
      </c>
      <c r="F712" s="11">
        <v>902</v>
      </c>
      <c r="G712" s="11">
        <v>81740</v>
      </c>
      <c r="H712" s="21">
        <v>810</v>
      </c>
      <c r="I712" s="20">
        <f>I713</f>
        <v>0</v>
      </c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>
        <f>T713</f>
        <v>0</v>
      </c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F712" s="30"/>
      <c r="AG712" s="30"/>
      <c r="AH712" s="30"/>
      <c r="AI712" s="30"/>
      <c r="AJ712" s="30"/>
      <c r="AK712" s="30"/>
      <c r="AL712" s="30"/>
    </row>
    <row r="713" spans="1:38" s="44" customFormat="1" ht="78.75" x14ac:dyDescent="0.25">
      <c r="A713" s="5"/>
      <c r="B713" s="5" t="s">
        <v>247</v>
      </c>
      <c r="C713" s="2" t="s">
        <v>238</v>
      </c>
      <c r="D713" s="11">
        <v>1</v>
      </c>
      <c r="E713" s="11">
        <v>11</v>
      </c>
      <c r="F713" s="11">
        <v>902</v>
      </c>
      <c r="G713" s="11">
        <v>81740</v>
      </c>
      <c r="H713" s="21">
        <v>813</v>
      </c>
      <c r="I713" s="20">
        <v>0</v>
      </c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>
        <v>0</v>
      </c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F713" s="30"/>
      <c r="AG713" s="30"/>
      <c r="AH713" s="30"/>
      <c r="AI713" s="30"/>
      <c r="AJ713" s="30"/>
      <c r="AK713" s="30"/>
      <c r="AL713" s="30"/>
    </row>
    <row r="714" spans="1:38" s="44" customFormat="1" ht="59.25" hidden="1" customHeight="1" x14ac:dyDescent="0.25">
      <c r="A714" s="3" t="s">
        <v>141</v>
      </c>
      <c r="B714" s="3" t="s">
        <v>248</v>
      </c>
      <c r="C714" s="19" t="s">
        <v>238</v>
      </c>
      <c r="D714" s="13">
        <v>1</v>
      </c>
      <c r="E714" s="13">
        <v>11</v>
      </c>
      <c r="F714" s="13">
        <v>902</v>
      </c>
      <c r="G714" s="13" t="s">
        <v>142</v>
      </c>
      <c r="H714" s="14"/>
      <c r="I714" s="15">
        <f t="shared" ref="I714:AD716" si="139">I715</f>
        <v>0</v>
      </c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>
        <f t="shared" si="139"/>
        <v>0</v>
      </c>
      <c r="U714" s="15"/>
      <c r="V714" s="15"/>
      <c r="W714" s="15"/>
      <c r="X714" s="15"/>
      <c r="Y714" s="15">
        <f t="shared" si="139"/>
        <v>0</v>
      </c>
      <c r="Z714" s="15"/>
      <c r="AA714" s="15"/>
      <c r="AB714" s="15"/>
      <c r="AC714" s="15"/>
      <c r="AD714" s="15">
        <f t="shared" si="139"/>
        <v>0</v>
      </c>
      <c r="AF714" s="30"/>
      <c r="AG714" s="30"/>
      <c r="AH714" s="30"/>
      <c r="AI714" s="30"/>
      <c r="AJ714" s="30"/>
      <c r="AK714" s="30"/>
      <c r="AL714" s="30"/>
    </row>
    <row r="715" spans="1:38" s="44" customFormat="1" ht="33.75" hidden="1" x14ac:dyDescent="0.25">
      <c r="A715" s="5" t="s">
        <v>70</v>
      </c>
      <c r="B715" s="5" t="s">
        <v>70</v>
      </c>
      <c r="C715" s="2" t="s">
        <v>238</v>
      </c>
      <c r="D715" s="11">
        <v>1</v>
      </c>
      <c r="E715" s="11">
        <v>11</v>
      </c>
      <c r="F715" s="11">
        <v>902</v>
      </c>
      <c r="G715" s="11" t="s">
        <v>142</v>
      </c>
      <c r="H715" s="21">
        <v>400</v>
      </c>
      <c r="I715" s="20">
        <f t="shared" si="139"/>
        <v>0</v>
      </c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>
        <f t="shared" si="139"/>
        <v>0</v>
      </c>
      <c r="U715" s="20"/>
      <c r="V715" s="20"/>
      <c r="W715" s="20"/>
      <c r="X715" s="20"/>
      <c r="Y715" s="20">
        <f t="shared" si="139"/>
        <v>0</v>
      </c>
      <c r="Z715" s="20"/>
      <c r="AA715" s="20"/>
      <c r="AB715" s="20"/>
      <c r="AC715" s="20"/>
      <c r="AD715" s="20">
        <f t="shared" si="139"/>
        <v>0</v>
      </c>
      <c r="AF715" s="30"/>
      <c r="AG715" s="30"/>
      <c r="AH715" s="30"/>
      <c r="AI715" s="30"/>
      <c r="AJ715" s="30"/>
      <c r="AK715" s="30"/>
      <c r="AL715" s="30"/>
    </row>
    <row r="716" spans="1:38" s="44" customFormat="1" hidden="1" x14ac:dyDescent="0.25">
      <c r="A716" s="5" t="s">
        <v>71</v>
      </c>
      <c r="B716" s="5" t="s">
        <v>71</v>
      </c>
      <c r="C716" s="2" t="s">
        <v>238</v>
      </c>
      <c r="D716" s="11">
        <v>1</v>
      </c>
      <c r="E716" s="11">
        <v>11</v>
      </c>
      <c r="F716" s="11">
        <v>902</v>
      </c>
      <c r="G716" s="11" t="s">
        <v>142</v>
      </c>
      <c r="H716" s="21">
        <v>410</v>
      </c>
      <c r="I716" s="20">
        <f t="shared" si="139"/>
        <v>0</v>
      </c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>
        <f t="shared" si="139"/>
        <v>0</v>
      </c>
      <c r="U716" s="20"/>
      <c r="V716" s="20"/>
      <c r="W716" s="20"/>
      <c r="X716" s="20"/>
      <c r="Y716" s="20">
        <f t="shared" si="139"/>
        <v>0</v>
      </c>
      <c r="Z716" s="20"/>
      <c r="AA716" s="20"/>
      <c r="AB716" s="20"/>
      <c r="AC716" s="20"/>
      <c r="AD716" s="20">
        <f t="shared" si="139"/>
        <v>0</v>
      </c>
      <c r="AF716" s="30"/>
      <c r="AG716" s="30"/>
      <c r="AH716" s="30"/>
      <c r="AI716" s="30"/>
      <c r="AJ716" s="30"/>
      <c r="AK716" s="30"/>
      <c r="AL716" s="30"/>
    </row>
    <row r="717" spans="1:38" s="44" customFormat="1" ht="45" hidden="1" x14ac:dyDescent="0.25">
      <c r="A717" s="5" t="s">
        <v>94</v>
      </c>
      <c r="B717" s="5" t="s">
        <v>94</v>
      </c>
      <c r="C717" s="2" t="s">
        <v>238</v>
      </c>
      <c r="D717" s="11">
        <v>1</v>
      </c>
      <c r="E717" s="11">
        <v>11</v>
      </c>
      <c r="F717" s="11">
        <v>902</v>
      </c>
      <c r="G717" s="11" t="s">
        <v>142</v>
      </c>
      <c r="H717" s="21">
        <v>414</v>
      </c>
      <c r="I717" s="20">
        <v>0</v>
      </c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>
        <v>0</v>
      </c>
      <c r="U717" s="20"/>
      <c r="V717" s="20"/>
      <c r="W717" s="20"/>
      <c r="X717" s="20"/>
      <c r="Y717" s="20">
        <v>0</v>
      </c>
      <c r="Z717" s="20"/>
      <c r="AA717" s="20"/>
      <c r="AB717" s="20"/>
      <c r="AC717" s="20"/>
      <c r="AD717" s="20">
        <v>0</v>
      </c>
      <c r="AF717" s="30"/>
      <c r="AG717" s="30"/>
      <c r="AH717" s="30"/>
      <c r="AI717" s="30"/>
      <c r="AJ717" s="30"/>
      <c r="AK717" s="30"/>
      <c r="AL717" s="30"/>
    </row>
    <row r="718" spans="1:38" s="44" customFormat="1" ht="31.5" hidden="1" x14ac:dyDescent="0.25">
      <c r="A718" s="5"/>
      <c r="B718" s="3" t="s">
        <v>249</v>
      </c>
      <c r="C718" s="2" t="s">
        <v>238</v>
      </c>
      <c r="D718" s="11">
        <v>1</v>
      </c>
      <c r="E718" s="11">
        <v>11</v>
      </c>
      <c r="F718" s="11">
        <v>902</v>
      </c>
      <c r="G718" s="11">
        <v>11270</v>
      </c>
      <c r="H718" s="50"/>
      <c r="I718" s="20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20"/>
      <c r="U718" s="20"/>
      <c r="V718" s="20"/>
      <c r="W718" s="20"/>
      <c r="X718" s="20"/>
      <c r="Y718" s="20">
        <f>Y719</f>
        <v>0</v>
      </c>
      <c r="Z718" s="20"/>
      <c r="AA718" s="20"/>
      <c r="AB718" s="20"/>
      <c r="AC718" s="20"/>
      <c r="AD718" s="20"/>
      <c r="AF718" s="30"/>
      <c r="AG718" s="30"/>
      <c r="AH718" s="30"/>
      <c r="AI718" s="30"/>
      <c r="AJ718" s="30"/>
      <c r="AK718" s="30"/>
      <c r="AL718" s="30"/>
    </row>
    <row r="719" spans="1:38" s="44" customFormat="1" ht="33.75" hidden="1" x14ac:dyDescent="0.25">
      <c r="A719" s="5"/>
      <c r="B719" s="5" t="s">
        <v>70</v>
      </c>
      <c r="C719" s="2" t="s">
        <v>238</v>
      </c>
      <c r="D719" s="11">
        <v>1</v>
      </c>
      <c r="E719" s="11">
        <v>11</v>
      </c>
      <c r="F719" s="11">
        <v>902</v>
      </c>
      <c r="G719" s="11">
        <v>11270</v>
      </c>
      <c r="H719" s="50">
        <v>400</v>
      </c>
      <c r="I719" s="20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20"/>
      <c r="U719" s="20"/>
      <c r="V719" s="20"/>
      <c r="W719" s="20"/>
      <c r="X719" s="20"/>
      <c r="Y719" s="20">
        <f>Y720</f>
        <v>0</v>
      </c>
      <c r="Z719" s="20"/>
      <c r="AA719" s="20"/>
      <c r="AB719" s="20"/>
      <c r="AC719" s="20"/>
      <c r="AD719" s="20"/>
      <c r="AF719" s="30"/>
      <c r="AG719" s="30"/>
      <c r="AH719" s="30"/>
      <c r="AI719" s="30"/>
      <c r="AJ719" s="30"/>
      <c r="AK719" s="30"/>
      <c r="AL719" s="30"/>
    </row>
    <row r="720" spans="1:38" s="44" customFormat="1" hidden="1" x14ac:dyDescent="0.25">
      <c r="A720" s="5"/>
      <c r="B720" s="5" t="s">
        <v>71</v>
      </c>
      <c r="C720" s="2" t="s">
        <v>238</v>
      </c>
      <c r="D720" s="11">
        <v>1</v>
      </c>
      <c r="E720" s="11">
        <v>11</v>
      </c>
      <c r="F720" s="11">
        <v>902</v>
      </c>
      <c r="G720" s="11">
        <v>11270</v>
      </c>
      <c r="H720" s="50">
        <v>410</v>
      </c>
      <c r="I720" s="20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20"/>
      <c r="U720" s="20"/>
      <c r="V720" s="20"/>
      <c r="W720" s="20"/>
      <c r="X720" s="20"/>
      <c r="Y720" s="20">
        <f>Y721</f>
        <v>0</v>
      </c>
      <c r="Z720" s="20"/>
      <c r="AA720" s="20"/>
      <c r="AB720" s="20"/>
      <c r="AC720" s="20"/>
      <c r="AD720" s="20"/>
      <c r="AF720" s="30"/>
      <c r="AG720" s="30"/>
      <c r="AH720" s="30"/>
      <c r="AI720" s="30"/>
      <c r="AJ720" s="30"/>
      <c r="AK720" s="30"/>
      <c r="AL720" s="30"/>
    </row>
    <row r="721" spans="1:38" s="44" customFormat="1" ht="45" hidden="1" x14ac:dyDescent="0.25">
      <c r="A721" s="5"/>
      <c r="B721" s="5" t="s">
        <v>94</v>
      </c>
      <c r="C721" s="2" t="s">
        <v>238</v>
      </c>
      <c r="D721" s="11">
        <v>1</v>
      </c>
      <c r="E721" s="11">
        <v>11</v>
      </c>
      <c r="F721" s="11">
        <v>902</v>
      </c>
      <c r="G721" s="11">
        <v>11270</v>
      </c>
      <c r="H721" s="50">
        <v>414</v>
      </c>
      <c r="I721" s="20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20"/>
      <c r="U721" s="20"/>
      <c r="V721" s="20"/>
      <c r="W721" s="20"/>
      <c r="X721" s="20"/>
      <c r="Y721" s="20">
        <v>0</v>
      </c>
      <c r="Z721" s="20"/>
      <c r="AA721" s="20"/>
      <c r="AB721" s="20"/>
      <c r="AC721" s="20"/>
      <c r="AD721" s="20"/>
      <c r="AF721" s="30"/>
      <c r="AG721" s="30"/>
      <c r="AH721" s="30"/>
      <c r="AI721" s="30"/>
      <c r="AJ721" s="30"/>
      <c r="AK721" s="30"/>
      <c r="AL721" s="30"/>
    </row>
    <row r="722" spans="1:38" s="44" customFormat="1" ht="45" hidden="1" x14ac:dyDescent="0.25">
      <c r="A722" s="5"/>
      <c r="B722" s="5" t="s">
        <v>239</v>
      </c>
      <c r="C722" s="2" t="s">
        <v>238</v>
      </c>
      <c r="D722" s="11">
        <v>1</v>
      </c>
      <c r="E722" s="11">
        <v>11</v>
      </c>
      <c r="F722" s="11">
        <v>902</v>
      </c>
      <c r="G722" s="11" t="s">
        <v>240</v>
      </c>
      <c r="H722" s="50"/>
      <c r="I722" s="20">
        <f>I723</f>
        <v>0</v>
      </c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20">
        <f>T723</f>
        <v>0</v>
      </c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F722" s="30"/>
      <c r="AG722" s="30"/>
      <c r="AH722" s="30"/>
      <c r="AI722" s="30"/>
      <c r="AJ722" s="30"/>
      <c r="AK722" s="30"/>
      <c r="AL722" s="30"/>
    </row>
    <row r="723" spans="1:38" s="44" customFormat="1" ht="33.75" hidden="1" x14ac:dyDescent="0.25">
      <c r="A723" s="5"/>
      <c r="B723" s="5" t="s">
        <v>26</v>
      </c>
      <c r="C723" s="2" t="s">
        <v>238</v>
      </c>
      <c r="D723" s="11">
        <v>1</v>
      </c>
      <c r="E723" s="11">
        <v>11</v>
      </c>
      <c r="F723" s="11">
        <v>902</v>
      </c>
      <c r="G723" s="11" t="s">
        <v>240</v>
      </c>
      <c r="H723" s="21">
        <v>200</v>
      </c>
      <c r="I723" s="20">
        <f>I724</f>
        <v>0</v>
      </c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>
        <f>T724</f>
        <v>0</v>
      </c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F723" s="30"/>
      <c r="AG723" s="30"/>
      <c r="AH723" s="30"/>
      <c r="AI723" s="30"/>
      <c r="AJ723" s="30"/>
      <c r="AK723" s="30"/>
      <c r="AL723" s="30"/>
    </row>
    <row r="724" spans="1:38" s="44" customFormat="1" ht="33.75" hidden="1" x14ac:dyDescent="0.25">
      <c r="A724" s="5"/>
      <c r="B724" s="5" t="s">
        <v>28</v>
      </c>
      <c r="C724" s="2" t="s">
        <v>238</v>
      </c>
      <c r="D724" s="11">
        <v>1</v>
      </c>
      <c r="E724" s="11">
        <v>11</v>
      </c>
      <c r="F724" s="11">
        <v>902</v>
      </c>
      <c r="G724" s="11" t="s">
        <v>240</v>
      </c>
      <c r="H724" s="21">
        <v>240</v>
      </c>
      <c r="I724" s="20">
        <f>I725</f>
        <v>0</v>
      </c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>
        <f>T725</f>
        <v>0</v>
      </c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F724" s="30"/>
      <c r="AG724" s="30"/>
      <c r="AH724" s="30"/>
      <c r="AI724" s="30"/>
      <c r="AJ724" s="30"/>
      <c r="AK724" s="30"/>
      <c r="AL724" s="30"/>
    </row>
    <row r="725" spans="1:38" s="44" customFormat="1" ht="45" hidden="1" x14ac:dyDescent="0.25">
      <c r="A725" s="5"/>
      <c r="B725" s="5" t="s">
        <v>30</v>
      </c>
      <c r="C725" s="2" t="s">
        <v>238</v>
      </c>
      <c r="D725" s="11">
        <v>1</v>
      </c>
      <c r="E725" s="11">
        <v>11</v>
      </c>
      <c r="F725" s="11">
        <v>902</v>
      </c>
      <c r="G725" s="11" t="s">
        <v>240</v>
      </c>
      <c r="H725" s="21">
        <v>244</v>
      </c>
      <c r="I725" s="20">
        <v>0</v>
      </c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>
        <v>0</v>
      </c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F725" s="30"/>
      <c r="AG725" s="30"/>
      <c r="AH725" s="30"/>
      <c r="AI725" s="30"/>
      <c r="AJ725" s="30"/>
      <c r="AK725" s="30"/>
      <c r="AL725" s="30"/>
    </row>
    <row r="726" spans="1:38" ht="59.25" customHeight="1" x14ac:dyDescent="0.25">
      <c r="A726" s="3" t="s">
        <v>250</v>
      </c>
      <c r="B726" s="3" t="s">
        <v>324</v>
      </c>
      <c r="C726" s="19" t="s">
        <v>238</v>
      </c>
      <c r="D726" s="13">
        <v>2</v>
      </c>
      <c r="E726" s="13"/>
      <c r="F726" s="13"/>
      <c r="G726" s="13"/>
      <c r="H726" s="14"/>
      <c r="I726" s="15">
        <f>I728</f>
        <v>0</v>
      </c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>
        <f>T728</f>
        <v>0</v>
      </c>
      <c r="U726" s="15"/>
      <c r="V726" s="15"/>
      <c r="W726" s="15"/>
      <c r="X726" s="15"/>
      <c r="Y726" s="15">
        <f>Y728</f>
        <v>0</v>
      </c>
      <c r="Z726" s="15"/>
      <c r="AA726" s="15"/>
      <c r="AB726" s="15"/>
      <c r="AC726" s="15"/>
      <c r="AD726" s="15">
        <f>AD728</f>
        <v>0</v>
      </c>
    </row>
    <row r="727" spans="1:38" ht="143.25" customHeight="1" x14ac:dyDescent="0.25">
      <c r="A727" s="3" t="s">
        <v>251</v>
      </c>
      <c r="B727" s="3" t="s">
        <v>251</v>
      </c>
      <c r="C727" s="19" t="s">
        <v>238</v>
      </c>
      <c r="D727" s="13">
        <v>2</v>
      </c>
      <c r="E727" s="13">
        <v>11</v>
      </c>
      <c r="F727" s="13"/>
      <c r="G727" s="13"/>
      <c r="H727" s="14"/>
      <c r="I727" s="15">
        <f>I728</f>
        <v>0</v>
      </c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>
        <f>T728</f>
        <v>0</v>
      </c>
      <c r="U727" s="15"/>
      <c r="V727" s="15"/>
      <c r="W727" s="15"/>
      <c r="X727" s="15"/>
      <c r="Y727" s="15">
        <f>Y728</f>
        <v>0</v>
      </c>
      <c r="Z727" s="15"/>
      <c r="AA727" s="15"/>
      <c r="AB727" s="15"/>
      <c r="AC727" s="15"/>
      <c r="AD727" s="15">
        <f>AD728</f>
        <v>0</v>
      </c>
    </row>
    <row r="728" spans="1:38" ht="33" customHeight="1" x14ac:dyDescent="0.25">
      <c r="A728" s="3" t="s">
        <v>20</v>
      </c>
      <c r="B728" s="3" t="s">
        <v>20</v>
      </c>
      <c r="C728" s="19" t="s">
        <v>238</v>
      </c>
      <c r="D728" s="13">
        <v>2</v>
      </c>
      <c r="E728" s="13">
        <v>11</v>
      </c>
      <c r="F728" s="13">
        <v>902</v>
      </c>
      <c r="G728" s="13"/>
      <c r="H728" s="14"/>
      <c r="I728" s="15">
        <f>I733+I729</f>
        <v>0</v>
      </c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>
        <f>T733+T729</f>
        <v>0</v>
      </c>
      <c r="U728" s="15"/>
      <c r="V728" s="15"/>
      <c r="W728" s="15"/>
      <c r="X728" s="15"/>
      <c r="Y728" s="15">
        <f>Y733+Y729</f>
        <v>0</v>
      </c>
      <c r="Z728" s="15"/>
      <c r="AA728" s="15"/>
      <c r="AB728" s="15"/>
      <c r="AC728" s="15"/>
      <c r="AD728" s="15">
        <f>AD733+AD729</f>
        <v>0</v>
      </c>
    </row>
    <row r="729" spans="1:38" ht="19.5" customHeight="1" x14ac:dyDescent="0.25">
      <c r="A729" s="3"/>
      <c r="B729" s="3" t="s">
        <v>252</v>
      </c>
      <c r="C729" s="19" t="s">
        <v>238</v>
      </c>
      <c r="D729" s="13">
        <v>2</v>
      </c>
      <c r="E729" s="13">
        <v>11</v>
      </c>
      <c r="F729" s="13">
        <v>902</v>
      </c>
      <c r="G729" s="13" t="s">
        <v>253</v>
      </c>
      <c r="H729" s="14"/>
      <c r="I729" s="15">
        <f>I730</f>
        <v>0</v>
      </c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>
        <f>T730</f>
        <v>0</v>
      </c>
      <c r="U729" s="15"/>
      <c r="V729" s="15"/>
      <c r="W729" s="15"/>
      <c r="X729" s="15"/>
      <c r="Y729" s="15"/>
      <c r="Z729" s="15"/>
      <c r="AA729" s="15"/>
      <c r="AB729" s="15"/>
      <c r="AC729" s="15"/>
      <c r="AD729" s="15">
        <f>AD730</f>
        <v>0</v>
      </c>
    </row>
    <row r="730" spans="1:38" ht="36" customHeight="1" x14ac:dyDescent="0.25">
      <c r="A730" s="3"/>
      <c r="B730" s="5" t="s">
        <v>26</v>
      </c>
      <c r="C730" s="2" t="s">
        <v>238</v>
      </c>
      <c r="D730" s="11">
        <v>2</v>
      </c>
      <c r="E730" s="11">
        <v>11</v>
      </c>
      <c r="F730" s="11">
        <v>902</v>
      </c>
      <c r="G730" s="11" t="s">
        <v>253</v>
      </c>
      <c r="H730" s="21">
        <v>200</v>
      </c>
      <c r="I730" s="15">
        <f>I731</f>
        <v>0</v>
      </c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15">
        <f>T731</f>
        <v>0</v>
      </c>
      <c r="U730" s="15"/>
      <c r="V730" s="15"/>
      <c r="W730" s="15"/>
      <c r="X730" s="15"/>
      <c r="Y730" s="15"/>
      <c r="Z730" s="15"/>
      <c r="AA730" s="15"/>
      <c r="AB730" s="15"/>
      <c r="AC730" s="15"/>
      <c r="AD730" s="15">
        <f>AD731</f>
        <v>0</v>
      </c>
    </row>
    <row r="731" spans="1:38" ht="38.25" customHeight="1" x14ac:dyDescent="0.25">
      <c r="A731" s="3"/>
      <c r="B731" s="5" t="s">
        <v>28</v>
      </c>
      <c r="C731" s="2" t="s">
        <v>238</v>
      </c>
      <c r="D731" s="11">
        <v>2</v>
      </c>
      <c r="E731" s="11">
        <v>11</v>
      </c>
      <c r="F731" s="11">
        <v>902</v>
      </c>
      <c r="G731" s="11" t="s">
        <v>253</v>
      </c>
      <c r="H731" s="21">
        <v>240</v>
      </c>
      <c r="I731" s="15">
        <f>I732</f>
        <v>0</v>
      </c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15">
        <f>T732</f>
        <v>0</v>
      </c>
      <c r="U731" s="15"/>
      <c r="V731" s="15"/>
      <c r="W731" s="15"/>
      <c r="X731" s="15"/>
      <c r="Y731" s="15"/>
      <c r="Z731" s="15"/>
      <c r="AA731" s="15"/>
      <c r="AB731" s="15"/>
      <c r="AC731" s="15"/>
      <c r="AD731" s="15">
        <f>AD732</f>
        <v>0</v>
      </c>
    </row>
    <row r="732" spans="1:38" ht="38.25" customHeight="1" x14ac:dyDescent="0.25">
      <c r="A732" s="3"/>
      <c r="B732" s="5" t="s">
        <v>254</v>
      </c>
      <c r="C732" s="2" t="s">
        <v>238</v>
      </c>
      <c r="D732" s="11">
        <v>2</v>
      </c>
      <c r="E732" s="11">
        <v>11</v>
      </c>
      <c r="F732" s="11">
        <v>902</v>
      </c>
      <c r="G732" s="11" t="s">
        <v>253</v>
      </c>
      <c r="H732" s="21">
        <v>243</v>
      </c>
      <c r="I732" s="15">
        <v>0</v>
      </c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15">
        <v>0</v>
      </c>
      <c r="U732" s="15"/>
      <c r="V732" s="15"/>
      <c r="W732" s="15"/>
      <c r="X732" s="15"/>
      <c r="Y732" s="15"/>
      <c r="Z732" s="20">
        <v>-543478.26</v>
      </c>
      <c r="AA732" s="20"/>
      <c r="AB732" s="20"/>
      <c r="AC732" s="20"/>
      <c r="AD732" s="15">
        <f>543478.26+Z732</f>
        <v>0</v>
      </c>
    </row>
    <row r="733" spans="1:38" ht="31.5" hidden="1" x14ac:dyDescent="0.15">
      <c r="A733" s="53" t="s">
        <v>255</v>
      </c>
      <c r="B733" s="49" t="s">
        <v>256</v>
      </c>
      <c r="C733" s="19" t="s">
        <v>238</v>
      </c>
      <c r="D733" s="13">
        <v>2</v>
      </c>
      <c r="E733" s="13">
        <v>11</v>
      </c>
      <c r="F733" s="13">
        <v>902</v>
      </c>
      <c r="G733" s="13">
        <v>83260</v>
      </c>
      <c r="H733" s="14"/>
      <c r="I733" s="15">
        <f t="shared" ref="I733:AD735" si="140">I734</f>
        <v>0</v>
      </c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>
        <f t="shared" si="140"/>
        <v>0</v>
      </c>
      <c r="U733" s="15"/>
      <c r="V733" s="15"/>
      <c r="W733" s="15"/>
      <c r="X733" s="15"/>
      <c r="Y733" s="15">
        <f t="shared" si="140"/>
        <v>0</v>
      </c>
      <c r="Z733" s="15"/>
      <c r="AA733" s="15"/>
      <c r="AB733" s="15"/>
      <c r="AC733" s="15"/>
      <c r="AD733" s="15">
        <f t="shared" si="140"/>
        <v>0</v>
      </c>
    </row>
    <row r="734" spans="1:38" ht="22.5" x14ac:dyDescent="0.25">
      <c r="A734" s="5" t="s">
        <v>26</v>
      </c>
      <c r="B734" s="5" t="s">
        <v>26</v>
      </c>
      <c r="C734" s="2" t="s">
        <v>238</v>
      </c>
      <c r="D734" s="11">
        <v>2</v>
      </c>
      <c r="E734" s="11">
        <v>11</v>
      </c>
      <c r="F734" s="11">
        <v>902</v>
      </c>
      <c r="G734" s="11">
        <v>83260</v>
      </c>
      <c r="H734" s="21">
        <v>200</v>
      </c>
      <c r="I734" s="20">
        <f t="shared" si="140"/>
        <v>0</v>
      </c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>
        <f t="shared" si="140"/>
        <v>0</v>
      </c>
      <c r="U734" s="20"/>
      <c r="V734" s="20"/>
      <c r="W734" s="20"/>
      <c r="X734" s="20"/>
      <c r="Y734" s="20">
        <f t="shared" si="140"/>
        <v>0</v>
      </c>
      <c r="Z734" s="20"/>
      <c r="AA734" s="20"/>
      <c r="AB734" s="20"/>
      <c r="AC734" s="20"/>
      <c r="AD734" s="20">
        <f t="shared" si="140"/>
        <v>0</v>
      </c>
    </row>
    <row r="735" spans="1:38" ht="33.75" x14ac:dyDescent="0.25">
      <c r="A735" s="5" t="s">
        <v>28</v>
      </c>
      <c r="B735" s="5" t="s">
        <v>28</v>
      </c>
      <c r="C735" s="2" t="s">
        <v>238</v>
      </c>
      <c r="D735" s="11">
        <v>2</v>
      </c>
      <c r="E735" s="11">
        <v>11</v>
      </c>
      <c r="F735" s="11">
        <v>902</v>
      </c>
      <c r="G735" s="11">
        <v>83260</v>
      </c>
      <c r="H735" s="21">
        <v>240</v>
      </c>
      <c r="I735" s="20">
        <f t="shared" si="140"/>
        <v>0</v>
      </c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>
        <f t="shared" si="140"/>
        <v>0</v>
      </c>
      <c r="U735" s="20"/>
      <c r="V735" s="20"/>
      <c r="W735" s="20"/>
      <c r="X735" s="20"/>
      <c r="Y735" s="20">
        <f t="shared" si="140"/>
        <v>0</v>
      </c>
      <c r="Z735" s="20"/>
      <c r="AA735" s="20"/>
      <c r="AB735" s="20"/>
      <c r="AC735" s="20"/>
      <c r="AD735" s="20">
        <f t="shared" si="140"/>
        <v>0</v>
      </c>
    </row>
    <row r="736" spans="1:38" s="44" customFormat="1" ht="48" customHeight="1" x14ac:dyDescent="0.25">
      <c r="A736" s="5" t="s">
        <v>30</v>
      </c>
      <c r="B736" s="5" t="s">
        <v>30</v>
      </c>
      <c r="C736" s="2" t="s">
        <v>238</v>
      </c>
      <c r="D736" s="11">
        <v>2</v>
      </c>
      <c r="E736" s="11">
        <v>11</v>
      </c>
      <c r="F736" s="11">
        <v>902</v>
      </c>
      <c r="G736" s="11">
        <v>83260</v>
      </c>
      <c r="H736" s="21">
        <v>244</v>
      </c>
      <c r="I736" s="20">
        <v>0</v>
      </c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>
        <v>0</v>
      </c>
      <c r="U736" s="20">
        <v>-300000</v>
      </c>
      <c r="V736" s="20"/>
      <c r="W736" s="20"/>
      <c r="X736" s="20"/>
      <c r="Y736" s="20">
        <f>300000+U736</f>
        <v>0</v>
      </c>
      <c r="Z736" s="20">
        <v>-300000</v>
      </c>
      <c r="AA736" s="20"/>
      <c r="AB736" s="20"/>
      <c r="AC736" s="20"/>
      <c r="AD736" s="20">
        <f>300000+Z736</f>
        <v>0</v>
      </c>
      <c r="AF736" s="30"/>
      <c r="AG736" s="30"/>
      <c r="AH736" s="30"/>
      <c r="AI736" s="30"/>
      <c r="AJ736" s="30"/>
      <c r="AK736" s="30"/>
      <c r="AL736" s="30"/>
    </row>
    <row r="737" spans="1:38" ht="66" customHeight="1" x14ac:dyDescent="0.25">
      <c r="A737" s="3" t="s">
        <v>257</v>
      </c>
      <c r="B737" s="3" t="s">
        <v>325</v>
      </c>
      <c r="C737" s="19" t="s">
        <v>238</v>
      </c>
      <c r="D737" s="13">
        <v>3</v>
      </c>
      <c r="E737" s="13"/>
      <c r="F737" s="13"/>
      <c r="G737" s="13"/>
      <c r="H737" s="14"/>
      <c r="I737" s="15">
        <f t="shared" ref="I737:AD738" si="141">I738</f>
        <v>121093068</v>
      </c>
      <c r="J737" s="15">
        <f t="shared" si="141"/>
        <v>1561737.4200000002</v>
      </c>
      <c r="K737" s="15">
        <f t="shared" si="141"/>
        <v>719115.52</v>
      </c>
      <c r="L737" s="15">
        <f t="shared" si="141"/>
        <v>879000</v>
      </c>
      <c r="M737" s="15">
        <f t="shared" si="141"/>
        <v>0</v>
      </c>
      <c r="N737" s="15"/>
      <c r="O737" s="15">
        <f t="shared" si="141"/>
        <v>0</v>
      </c>
      <c r="P737" s="15">
        <f t="shared" si="141"/>
        <v>2637432.35</v>
      </c>
      <c r="Q737" s="15"/>
      <c r="R737" s="15">
        <f t="shared" si="141"/>
        <v>0</v>
      </c>
      <c r="S737" s="15"/>
      <c r="T737" s="15">
        <f t="shared" si="141"/>
        <v>160961256.47</v>
      </c>
      <c r="U737" s="15"/>
      <c r="V737" s="15"/>
      <c r="W737" s="15"/>
      <c r="X737" s="15"/>
      <c r="Y737" s="15">
        <f t="shared" si="141"/>
        <v>57004817</v>
      </c>
      <c r="Z737" s="15"/>
      <c r="AA737" s="15"/>
      <c r="AB737" s="15"/>
      <c r="AC737" s="15"/>
      <c r="AD737" s="15">
        <f t="shared" si="141"/>
        <v>63765550</v>
      </c>
    </row>
    <row r="738" spans="1:38" ht="21" x14ac:dyDescent="0.25">
      <c r="A738" s="3" t="s">
        <v>258</v>
      </c>
      <c r="B738" s="3" t="s">
        <v>258</v>
      </c>
      <c r="C738" s="19" t="s">
        <v>238</v>
      </c>
      <c r="D738" s="13">
        <v>3</v>
      </c>
      <c r="E738" s="13">
        <v>11</v>
      </c>
      <c r="F738" s="13"/>
      <c r="G738" s="13"/>
      <c r="H738" s="14"/>
      <c r="I738" s="15">
        <f t="shared" si="141"/>
        <v>121093068</v>
      </c>
      <c r="J738" s="15">
        <f t="shared" si="141"/>
        <v>1561737.4200000002</v>
      </c>
      <c r="K738" s="15">
        <f t="shared" si="141"/>
        <v>719115.52</v>
      </c>
      <c r="L738" s="15">
        <f t="shared" si="141"/>
        <v>879000</v>
      </c>
      <c r="M738" s="15">
        <f t="shared" si="141"/>
        <v>0</v>
      </c>
      <c r="N738" s="15"/>
      <c r="O738" s="15">
        <f t="shared" si="141"/>
        <v>0</v>
      </c>
      <c r="P738" s="15">
        <f t="shared" si="141"/>
        <v>2637432.35</v>
      </c>
      <c r="Q738" s="15"/>
      <c r="R738" s="15">
        <f t="shared" si="141"/>
        <v>0</v>
      </c>
      <c r="S738" s="15"/>
      <c r="T738" s="15">
        <f t="shared" si="141"/>
        <v>160961256.47</v>
      </c>
      <c r="U738" s="15"/>
      <c r="V738" s="15"/>
      <c r="W738" s="15"/>
      <c r="X738" s="15"/>
      <c r="Y738" s="15">
        <f t="shared" si="141"/>
        <v>57004817</v>
      </c>
      <c r="Z738" s="15"/>
      <c r="AA738" s="15"/>
      <c r="AB738" s="15"/>
      <c r="AC738" s="15"/>
      <c r="AD738" s="15">
        <f t="shared" si="141"/>
        <v>63765550</v>
      </c>
    </row>
    <row r="739" spans="1:38" x14ac:dyDescent="0.25">
      <c r="A739" s="3" t="s">
        <v>20</v>
      </c>
      <c r="B739" s="3" t="s">
        <v>20</v>
      </c>
      <c r="C739" s="19" t="s">
        <v>238</v>
      </c>
      <c r="D739" s="13">
        <v>3</v>
      </c>
      <c r="E739" s="13">
        <v>11</v>
      </c>
      <c r="F739" s="13">
        <v>902</v>
      </c>
      <c r="G739" s="13"/>
      <c r="H739" s="14"/>
      <c r="I739" s="15">
        <f t="shared" ref="I739:T739" si="142">I740+I753</f>
        <v>121093068</v>
      </c>
      <c r="J739" s="15">
        <f t="shared" si="142"/>
        <v>1561737.4200000002</v>
      </c>
      <c r="K739" s="15">
        <f t="shared" si="142"/>
        <v>719115.52</v>
      </c>
      <c r="L739" s="15">
        <f t="shared" si="142"/>
        <v>879000</v>
      </c>
      <c r="M739" s="15">
        <f t="shared" si="142"/>
        <v>0</v>
      </c>
      <c r="N739" s="15"/>
      <c r="O739" s="15">
        <f t="shared" ref="O739:P739" si="143">O740+O753</f>
        <v>0</v>
      </c>
      <c r="P739" s="15">
        <f t="shared" si="143"/>
        <v>2637432.35</v>
      </c>
      <c r="Q739" s="15"/>
      <c r="R739" s="15">
        <f t="shared" ref="R739" si="144">R740+R753</f>
        <v>0</v>
      </c>
      <c r="S739" s="15"/>
      <c r="T739" s="15">
        <f t="shared" si="142"/>
        <v>160961256.47</v>
      </c>
      <c r="U739" s="15"/>
      <c r="V739" s="15"/>
      <c r="W739" s="15"/>
      <c r="X739" s="15"/>
      <c r="Y739" s="15">
        <f t="shared" ref="Y739:AH739" si="145">Y740+Y753</f>
        <v>57004817</v>
      </c>
      <c r="Z739" s="15"/>
      <c r="AA739" s="15"/>
      <c r="AB739" s="15"/>
      <c r="AC739" s="15"/>
      <c r="AD739" s="15">
        <f t="shared" si="145"/>
        <v>63765550</v>
      </c>
      <c r="AE739" s="15">
        <f t="shared" si="145"/>
        <v>0</v>
      </c>
      <c r="AF739" s="15">
        <f t="shared" si="145"/>
        <v>0</v>
      </c>
      <c r="AG739" s="15">
        <f t="shared" si="145"/>
        <v>0</v>
      </c>
      <c r="AH739" s="15">
        <f t="shared" si="145"/>
        <v>0</v>
      </c>
    </row>
    <row r="740" spans="1:38" ht="29.25" customHeight="1" x14ac:dyDescent="0.15">
      <c r="A740" s="53" t="s">
        <v>259</v>
      </c>
      <c r="B740" s="49" t="s">
        <v>260</v>
      </c>
      <c r="C740" s="19" t="s">
        <v>238</v>
      </c>
      <c r="D740" s="13">
        <v>3</v>
      </c>
      <c r="E740" s="13">
        <v>11</v>
      </c>
      <c r="F740" s="13">
        <v>902</v>
      </c>
      <c r="G740" s="13">
        <v>81660</v>
      </c>
      <c r="H740" s="18"/>
      <c r="I740" s="15">
        <f t="shared" ref="I740:T740" si="146">I741+I745+I748</f>
        <v>13579558.710000001</v>
      </c>
      <c r="J740" s="15">
        <f t="shared" si="146"/>
        <v>1548365.7100000002</v>
      </c>
      <c r="K740" s="15">
        <f t="shared" si="146"/>
        <v>719115.52</v>
      </c>
      <c r="L740" s="15">
        <f t="shared" si="146"/>
        <v>-516741.22</v>
      </c>
      <c r="M740" s="15">
        <f t="shared" si="146"/>
        <v>-1050</v>
      </c>
      <c r="N740" s="15"/>
      <c r="O740" s="15">
        <f t="shared" ref="O740" si="147">O741+O745+O748</f>
        <v>1396741.03</v>
      </c>
      <c r="P740" s="15"/>
      <c r="Q740" s="15"/>
      <c r="R740" s="15"/>
      <c r="S740" s="15"/>
      <c r="T740" s="15">
        <f t="shared" si="146"/>
        <v>16795989.75</v>
      </c>
      <c r="U740" s="15"/>
      <c r="V740" s="15"/>
      <c r="W740" s="15"/>
      <c r="X740" s="15"/>
      <c r="Y740" s="15">
        <f>Y741+Y745+Y748</f>
        <v>14055346.710000001</v>
      </c>
      <c r="Z740" s="15"/>
      <c r="AA740" s="15"/>
      <c r="AB740" s="15"/>
      <c r="AC740" s="15"/>
      <c r="AD740" s="15">
        <f>AD741+AD745+AD748</f>
        <v>14711849.710000001</v>
      </c>
    </row>
    <row r="741" spans="1:38" ht="22.5" x14ac:dyDescent="0.25">
      <c r="A741" s="5" t="s">
        <v>26</v>
      </c>
      <c r="B741" s="5" t="s">
        <v>26</v>
      </c>
      <c r="C741" s="2" t="s">
        <v>238</v>
      </c>
      <c r="D741" s="11">
        <v>3</v>
      </c>
      <c r="E741" s="11">
        <v>11</v>
      </c>
      <c r="F741" s="11">
        <v>902</v>
      </c>
      <c r="G741" s="11">
        <v>81660</v>
      </c>
      <c r="H741" s="21">
        <v>200</v>
      </c>
      <c r="I741" s="20">
        <f t="shared" ref="I741:AD741" si="148">I742</f>
        <v>10579558.710000001</v>
      </c>
      <c r="J741" s="20">
        <f t="shared" si="148"/>
        <v>3362812.68</v>
      </c>
      <c r="K741" s="20">
        <f t="shared" si="148"/>
        <v>719115.52</v>
      </c>
      <c r="L741" s="20">
        <f t="shared" si="148"/>
        <v>-516741.22</v>
      </c>
      <c r="M741" s="20">
        <f t="shared" si="148"/>
        <v>-1050</v>
      </c>
      <c r="N741" s="20"/>
      <c r="O741" s="20">
        <f t="shared" si="148"/>
        <v>196741.03</v>
      </c>
      <c r="P741" s="20"/>
      <c r="Q741" s="20"/>
      <c r="R741" s="20"/>
      <c r="S741" s="20"/>
      <c r="T741" s="20">
        <f t="shared" si="148"/>
        <v>14410436.719999999</v>
      </c>
      <c r="U741" s="20"/>
      <c r="V741" s="20"/>
      <c r="W741" s="20"/>
      <c r="X741" s="20"/>
      <c r="Y741" s="20">
        <f t="shared" si="148"/>
        <v>11055346.710000001</v>
      </c>
      <c r="Z741" s="20"/>
      <c r="AA741" s="20"/>
      <c r="AB741" s="20"/>
      <c r="AC741" s="20"/>
      <c r="AD741" s="20">
        <f t="shared" si="148"/>
        <v>11711849.710000001</v>
      </c>
    </row>
    <row r="742" spans="1:38" ht="33.75" x14ac:dyDescent="0.25">
      <c r="A742" s="5" t="s">
        <v>28</v>
      </c>
      <c r="B742" s="5" t="s">
        <v>28</v>
      </c>
      <c r="C742" s="2" t="s">
        <v>238</v>
      </c>
      <c r="D742" s="11">
        <v>3</v>
      </c>
      <c r="E742" s="11">
        <v>11</v>
      </c>
      <c r="F742" s="11">
        <v>902</v>
      </c>
      <c r="G742" s="11">
        <v>81660</v>
      </c>
      <c r="H742" s="21">
        <v>240</v>
      </c>
      <c r="I742" s="20">
        <f>I744</f>
        <v>10579558.710000001</v>
      </c>
      <c r="J742" s="20">
        <f>J744</f>
        <v>3362812.68</v>
      </c>
      <c r="K742" s="20">
        <f>K744</f>
        <v>719115.52</v>
      </c>
      <c r="L742" s="20">
        <f>L744</f>
        <v>-516741.22</v>
      </c>
      <c r="M742" s="20">
        <f>M744</f>
        <v>-1050</v>
      </c>
      <c r="N742" s="20"/>
      <c r="O742" s="20">
        <f>O744+O743</f>
        <v>196741.03</v>
      </c>
      <c r="P742" s="20"/>
      <c r="Q742" s="20"/>
      <c r="R742" s="20"/>
      <c r="S742" s="20"/>
      <c r="T742" s="20">
        <f>T744+T743</f>
        <v>14410436.719999999</v>
      </c>
      <c r="U742" s="20"/>
      <c r="V742" s="20"/>
      <c r="W742" s="20"/>
      <c r="X742" s="20"/>
      <c r="Y742" s="20">
        <f>Y744</f>
        <v>11055346.710000001</v>
      </c>
      <c r="Z742" s="20"/>
      <c r="AA742" s="20"/>
      <c r="AB742" s="20"/>
      <c r="AC742" s="20"/>
      <c r="AD742" s="20">
        <f>AD744</f>
        <v>11711849.710000001</v>
      </c>
    </row>
    <row r="743" spans="1:38" ht="22.5" x14ac:dyDescent="0.25">
      <c r="A743" s="5"/>
      <c r="B743" s="5" t="s">
        <v>254</v>
      </c>
      <c r="C743" s="2" t="s">
        <v>238</v>
      </c>
      <c r="D743" s="11">
        <v>3</v>
      </c>
      <c r="E743" s="11">
        <v>11</v>
      </c>
      <c r="F743" s="11">
        <v>902</v>
      </c>
      <c r="G743" s="11">
        <v>81660</v>
      </c>
      <c r="H743" s="21">
        <v>243</v>
      </c>
      <c r="I743" s="20"/>
      <c r="J743" s="20"/>
      <c r="K743" s="20"/>
      <c r="L743" s="20"/>
      <c r="M743" s="20"/>
      <c r="N743" s="20"/>
      <c r="O743" s="20">
        <v>409394.86</v>
      </c>
      <c r="P743" s="20"/>
      <c r="Q743" s="20"/>
      <c r="R743" s="20"/>
      <c r="S743" s="20">
        <v>-43000</v>
      </c>
      <c r="T743" s="20">
        <f>O743+S743</f>
        <v>366394.86</v>
      </c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</row>
    <row r="744" spans="1:38" s="44" customFormat="1" ht="53.25" customHeight="1" x14ac:dyDescent="0.25">
      <c r="A744" s="5" t="s">
        <v>30</v>
      </c>
      <c r="B744" s="5" t="s">
        <v>30</v>
      </c>
      <c r="C744" s="2" t="s">
        <v>238</v>
      </c>
      <c r="D744" s="11">
        <v>3</v>
      </c>
      <c r="E744" s="11">
        <v>11</v>
      </c>
      <c r="F744" s="11">
        <v>902</v>
      </c>
      <c r="G744" s="11">
        <v>81660</v>
      </c>
      <c r="H744" s="21">
        <v>244</v>
      </c>
      <c r="I744" s="20">
        <v>10579558.710000001</v>
      </c>
      <c r="J744" s="20">
        <v>3362812.68</v>
      </c>
      <c r="K744" s="20">
        <v>719115.52</v>
      </c>
      <c r="L744" s="20">
        <v>-516741.22</v>
      </c>
      <c r="M744" s="20">
        <v>-1050</v>
      </c>
      <c r="N744" s="20"/>
      <c r="O744" s="20">
        <v>-212653.83</v>
      </c>
      <c r="P744" s="20"/>
      <c r="Q744" s="20"/>
      <c r="R744" s="20"/>
      <c r="S744" s="20">
        <v>113000</v>
      </c>
      <c r="T744" s="20">
        <f>10579558.71+J744+K744+L744+M744+O744+S744</f>
        <v>14044041.859999999</v>
      </c>
      <c r="U744" s="20"/>
      <c r="V744" s="20"/>
      <c r="W744" s="20"/>
      <c r="X744" s="20"/>
      <c r="Y744" s="20">
        <v>11055346.710000001</v>
      </c>
      <c r="Z744" s="20"/>
      <c r="AA744" s="20"/>
      <c r="AB744" s="20"/>
      <c r="AC744" s="20"/>
      <c r="AD744" s="20">
        <v>11711849.710000001</v>
      </c>
      <c r="AF744" s="30"/>
      <c r="AG744" s="30"/>
      <c r="AH744" s="30"/>
      <c r="AI744" s="30"/>
      <c r="AJ744" s="30"/>
      <c r="AK744" s="30"/>
      <c r="AL744" s="30"/>
    </row>
    <row r="745" spans="1:38" s="44" customFormat="1" ht="45" hidden="1" x14ac:dyDescent="0.25">
      <c r="A745" s="60" t="s">
        <v>128</v>
      </c>
      <c r="B745" s="39" t="s">
        <v>128</v>
      </c>
      <c r="C745" s="2" t="s">
        <v>238</v>
      </c>
      <c r="D745" s="11">
        <v>3</v>
      </c>
      <c r="E745" s="11">
        <v>11</v>
      </c>
      <c r="F745" s="11">
        <v>902</v>
      </c>
      <c r="G745" s="11">
        <v>81660</v>
      </c>
      <c r="H745" s="21">
        <v>600</v>
      </c>
      <c r="I745" s="20">
        <f>I746</f>
        <v>0</v>
      </c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>
        <f>T746</f>
        <v>0</v>
      </c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F745" s="30"/>
      <c r="AG745" s="30"/>
      <c r="AH745" s="30"/>
      <c r="AI745" s="30"/>
      <c r="AJ745" s="30"/>
      <c r="AK745" s="30"/>
      <c r="AL745" s="30"/>
    </row>
    <row r="746" spans="1:38" s="44" customFormat="1" ht="45" hidden="1" x14ac:dyDescent="0.25">
      <c r="A746" s="60" t="s">
        <v>261</v>
      </c>
      <c r="B746" s="39" t="s">
        <v>261</v>
      </c>
      <c r="C746" s="2" t="s">
        <v>238</v>
      </c>
      <c r="D746" s="11">
        <v>3</v>
      </c>
      <c r="E746" s="11">
        <v>11</v>
      </c>
      <c r="F746" s="11">
        <v>902</v>
      </c>
      <c r="G746" s="11">
        <v>81660</v>
      </c>
      <c r="H746" s="21">
        <v>630</v>
      </c>
      <c r="I746" s="20">
        <f>I747</f>
        <v>0</v>
      </c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>
        <f>T747</f>
        <v>0</v>
      </c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F746" s="30"/>
      <c r="AG746" s="30"/>
      <c r="AH746" s="30"/>
      <c r="AI746" s="30"/>
      <c r="AJ746" s="30"/>
      <c r="AK746" s="30"/>
      <c r="AL746" s="30"/>
    </row>
    <row r="747" spans="1:38" s="44" customFormat="1" ht="67.5" hidden="1" x14ac:dyDescent="0.25">
      <c r="A747" s="60" t="s">
        <v>262</v>
      </c>
      <c r="B747" s="39" t="s">
        <v>262</v>
      </c>
      <c r="C747" s="2" t="s">
        <v>238</v>
      </c>
      <c r="D747" s="11">
        <v>3</v>
      </c>
      <c r="E747" s="11">
        <v>11</v>
      </c>
      <c r="F747" s="11">
        <v>902</v>
      </c>
      <c r="G747" s="11">
        <v>81660</v>
      </c>
      <c r="H747" s="21">
        <v>631</v>
      </c>
      <c r="I747" s="20">
        <v>0</v>
      </c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>
        <v>0</v>
      </c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F747" s="30"/>
      <c r="AG747" s="30"/>
      <c r="AH747" s="30"/>
      <c r="AI747" s="30"/>
      <c r="AJ747" s="30"/>
      <c r="AK747" s="30"/>
      <c r="AL747" s="30"/>
    </row>
    <row r="748" spans="1:38" s="44" customFormat="1" x14ac:dyDescent="0.25">
      <c r="A748" s="5" t="s">
        <v>59</v>
      </c>
      <c r="B748" s="5" t="s">
        <v>59</v>
      </c>
      <c r="C748" s="2" t="s">
        <v>238</v>
      </c>
      <c r="D748" s="11">
        <v>3</v>
      </c>
      <c r="E748" s="11">
        <v>11</v>
      </c>
      <c r="F748" s="11">
        <v>902</v>
      </c>
      <c r="G748" s="11">
        <v>81660</v>
      </c>
      <c r="H748" s="21">
        <v>800</v>
      </c>
      <c r="I748" s="20">
        <f>I749+I751</f>
        <v>3000000</v>
      </c>
      <c r="J748" s="20">
        <f>J749+J751</f>
        <v>-1814446.97</v>
      </c>
      <c r="K748" s="20"/>
      <c r="L748" s="20"/>
      <c r="M748" s="20"/>
      <c r="N748" s="20"/>
      <c r="O748" s="20">
        <f>O749+O751</f>
        <v>1200000</v>
      </c>
      <c r="P748" s="20"/>
      <c r="Q748" s="20"/>
      <c r="R748" s="20"/>
      <c r="S748" s="20"/>
      <c r="T748" s="20">
        <f>T749+T751</f>
        <v>2385553.0300000003</v>
      </c>
      <c r="U748" s="20"/>
      <c r="V748" s="20"/>
      <c r="W748" s="20"/>
      <c r="X748" s="20"/>
      <c r="Y748" s="20">
        <f>Y749</f>
        <v>3000000</v>
      </c>
      <c r="Z748" s="20"/>
      <c r="AA748" s="20"/>
      <c r="AB748" s="20"/>
      <c r="AC748" s="20"/>
      <c r="AD748" s="20">
        <f>AD749</f>
        <v>3000000</v>
      </c>
      <c r="AF748" s="30"/>
      <c r="AG748" s="30"/>
      <c r="AH748" s="30"/>
      <c r="AI748" s="30"/>
      <c r="AJ748" s="30"/>
      <c r="AK748" s="30"/>
      <c r="AL748" s="30"/>
    </row>
    <row r="749" spans="1:38" s="44" customFormat="1" ht="45" x14ac:dyDescent="0.25">
      <c r="A749" s="5" t="s">
        <v>99</v>
      </c>
      <c r="B749" s="5" t="s">
        <v>99</v>
      </c>
      <c r="C749" s="2" t="s">
        <v>238</v>
      </c>
      <c r="D749" s="11">
        <v>3</v>
      </c>
      <c r="E749" s="11">
        <v>11</v>
      </c>
      <c r="F749" s="11">
        <v>902</v>
      </c>
      <c r="G749" s="11">
        <v>81660</v>
      </c>
      <c r="H749" s="21">
        <v>810</v>
      </c>
      <c r="I749" s="20">
        <f>I750</f>
        <v>3000000</v>
      </c>
      <c r="J749" s="20">
        <f>J750</f>
        <v>-1814446.97</v>
      </c>
      <c r="K749" s="20"/>
      <c r="L749" s="20"/>
      <c r="M749" s="20"/>
      <c r="N749" s="20"/>
      <c r="O749" s="20">
        <f>O750</f>
        <v>1200000</v>
      </c>
      <c r="P749" s="20"/>
      <c r="Q749" s="20"/>
      <c r="R749" s="20"/>
      <c r="S749" s="20"/>
      <c r="T749" s="20">
        <f>T750</f>
        <v>2385553.0300000003</v>
      </c>
      <c r="U749" s="20"/>
      <c r="V749" s="20"/>
      <c r="W749" s="20"/>
      <c r="X749" s="20"/>
      <c r="Y749" s="20">
        <f>Y750</f>
        <v>3000000</v>
      </c>
      <c r="Z749" s="20"/>
      <c r="AA749" s="20"/>
      <c r="AB749" s="20"/>
      <c r="AC749" s="20"/>
      <c r="AD749" s="20">
        <f>AD750</f>
        <v>3000000</v>
      </c>
      <c r="AF749" s="30"/>
      <c r="AG749" s="30"/>
      <c r="AH749" s="30"/>
      <c r="AI749" s="30"/>
      <c r="AJ749" s="30"/>
      <c r="AK749" s="30"/>
      <c r="AL749" s="30"/>
    </row>
    <row r="750" spans="1:38" s="44" customFormat="1" ht="123" customHeight="1" x14ac:dyDescent="0.25">
      <c r="A750" s="5" t="s">
        <v>100</v>
      </c>
      <c r="B750" s="5" t="s">
        <v>247</v>
      </c>
      <c r="C750" s="2" t="s">
        <v>238</v>
      </c>
      <c r="D750" s="11">
        <v>3</v>
      </c>
      <c r="E750" s="11">
        <v>11</v>
      </c>
      <c r="F750" s="11">
        <v>902</v>
      </c>
      <c r="G750" s="11">
        <v>81660</v>
      </c>
      <c r="H750" s="21">
        <v>813</v>
      </c>
      <c r="I750" s="20">
        <v>3000000</v>
      </c>
      <c r="J750" s="20">
        <v>-1814446.97</v>
      </c>
      <c r="K750" s="20"/>
      <c r="L750" s="20"/>
      <c r="M750" s="20"/>
      <c r="N750" s="20"/>
      <c r="O750" s="20">
        <v>1200000</v>
      </c>
      <c r="P750" s="20"/>
      <c r="Q750" s="20"/>
      <c r="R750" s="20"/>
      <c r="S750" s="20"/>
      <c r="T750" s="20">
        <f>3000000+J750+O750</f>
        <v>2385553.0300000003</v>
      </c>
      <c r="U750" s="20"/>
      <c r="V750" s="20"/>
      <c r="W750" s="20"/>
      <c r="X750" s="20"/>
      <c r="Y750" s="20">
        <v>3000000</v>
      </c>
      <c r="Z750" s="20"/>
      <c r="AA750" s="20"/>
      <c r="AB750" s="20"/>
      <c r="AC750" s="20"/>
      <c r="AD750" s="20">
        <v>3000000</v>
      </c>
      <c r="AF750" s="30"/>
      <c r="AG750" s="30"/>
      <c r="AH750" s="30"/>
      <c r="AI750" s="30"/>
      <c r="AJ750" s="30"/>
      <c r="AK750" s="30"/>
      <c r="AL750" s="30"/>
    </row>
    <row r="751" spans="1:38" s="44" customFormat="1" ht="27" hidden="1" customHeight="1" x14ac:dyDescent="0.25">
      <c r="A751" s="5"/>
      <c r="B751" s="5" t="s">
        <v>60</v>
      </c>
      <c r="C751" s="2" t="s">
        <v>238</v>
      </c>
      <c r="D751" s="11">
        <v>3</v>
      </c>
      <c r="E751" s="11">
        <v>11</v>
      </c>
      <c r="F751" s="11">
        <v>902</v>
      </c>
      <c r="G751" s="11">
        <v>81660</v>
      </c>
      <c r="H751" s="21">
        <v>830</v>
      </c>
      <c r="I751" s="20">
        <f>I752</f>
        <v>0</v>
      </c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>
        <f>T752</f>
        <v>0</v>
      </c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F751" s="30"/>
      <c r="AG751" s="30"/>
      <c r="AH751" s="30"/>
      <c r="AI751" s="30"/>
      <c r="AJ751" s="30"/>
      <c r="AK751" s="30"/>
      <c r="AL751" s="30"/>
    </row>
    <row r="752" spans="1:38" s="44" customFormat="1" ht="144" hidden="1" customHeight="1" x14ac:dyDescent="0.25">
      <c r="A752" s="5"/>
      <c r="B752" s="5" t="s">
        <v>61</v>
      </c>
      <c r="C752" s="2" t="s">
        <v>238</v>
      </c>
      <c r="D752" s="11">
        <v>3</v>
      </c>
      <c r="E752" s="11">
        <v>11</v>
      </c>
      <c r="F752" s="11">
        <v>902</v>
      </c>
      <c r="G752" s="11">
        <v>81660</v>
      </c>
      <c r="H752" s="21">
        <v>831</v>
      </c>
      <c r="I752" s="20">
        <v>0</v>
      </c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>
        <v>0</v>
      </c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F752" s="30"/>
      <c r="AG752" s="30"/>
      <c r="AH752" s="30"/>
      <c r="AI752" s="30"/>
      <c r="AJ752" s="30"/>
      <c r="AK752" s="30"/>
      <c r="AL752" s="30"/>
    </row>
    <row r="753" spans="1:38" s="44" customFormat="1" ht="67.5" customHeight="1" x14ac:dyDescent="0.25">
      <c r="A753" s="3" t="s">
        <v>263</v>
      </c>
      <c r="B753" s="49" t="s">
        <v>264</v>
      </c>
      <c r="C753" s="19" t="s">
        <v>238</v>
      </c>
      <c r="D753" s="13">
        <v>3</v>
      </c>
      <c r="E753" s="13">
        <v>11</v>
      </c>
      <c r="F753" s="13">
        <v>902</v>
      </c>
      <c r="G753" s="13" t="s">
        <v>265</v>
      </c>
      <c r="H753" s="14"/>
      <c r="I753" s="15">
        <f t="shared" ref="I753:AD754" si="149">I754</f>
        <v>107513509.29000001</v>
      </c>
      <c r="J753" s="15">
        <f t="shared" si="149"/>
        <v>13371.71</v>
      </c>
      <c r="K753" s="15">
        <f t="shared" si="149"/>
        <v>0</v>
      </c>
      <c r="L753" s="15">
        <f t="shared" si="149"/>
        <v>1395741.22</v>
      </c>
      <c r="M753" s="15">
        <f t="shared" si="149"/>
        <v>1050</v>
      </c>
      <c r="N753" s="15"/>
      <c r="O753" s="15">
        <f t="shared" si="149"/>
        <v>-1396741.03</v>
      </c>
      <c r="P753" s="15">
        <f t="shared" si="149"/>
        <v>2637432.35</v>
      </c>
      <c r="Q753" s="15"/>
      <c r="R753" s="15">
        <f t="shared" si="149"/>
        <v>0</v>
      </c>
      <c r="S753" s="15"/>
      <c r="T753" s="15">
        <f t="shared" si="149"/>
        <v>144165266.72</v>
      </c>
      <c r="U753" s="15"/>
      <c r="V753" s="15"/>
      <c r="W753" s="15"/>
      <c r="X753" s="15"/>
      <c r="Y753" s="15">
        <f t="shared" si="149"/>
        <v>42949470.289999999</v>
      </c>
      <c r="Z753" s="15"/>
      <c r="AA753" s="15"/>
      <c r="AB753" s="15"/>
      <c r="AC753" s="15"/>
      <c r="AD753" s="15">
        <f t="shared" si="149"/>
        <v>49053700.289999999</v>
      </c>
      <c r="AF753" s="30"/>
      <c r="AG753" s="30"/>
      <c r="AH753" s="30"/>
      <c r="AI753" s="30"/>
      <c r="AJ753" s="30"/>
      <c r="AK753" s="30"/>
      <c r="AL753" s="30"/>
    </row>
    <row r="754" spans="1:38" s="44" customFormat="1" ht="22.5" x14ac:dyDescent="0.25">
      <c r="A754" s="5" t="s">
        <v>26</v>
      </c>
      <c r="B754" s="5" t="s">
        <v>26</v>
      </c>
      <c r="C754" s="2" t="s">
        <v>238</v>
      </c>
      <c r="D754" s="11">
        <v>3</v>
      </c>
      <c r="E754" s="11">
        <v>11</v>
      </c>
      <c r="F754" s="11">
        <v>902</v>
      </c>
      <c r="G754" s="11" t="s">
        <v>265</v>
      </c>
      <c r="H754" s="21">
        <v>200</v>
      </c>
      <c r="I754" s="20">
        <f t="shared" si="149"/>
        <v>107513509.29000001</v>
      </c>
      <c r="J754" s="20">
        <f t="shared" si="149"/>
        <v>13371.71</v>
      </c>
      <c r="K754" s="20">
        <f t="shared" si="149"/>
        <v>0</v>
      </c>
      <c r="L754" s="20">
        <f t="shared" si="149"/>
        <v>1395741.22</v>
      </c>
      <c r="M754" s="20">
        <f t="shared" si="149"/>
        <v>1050</v>
      </c>
      <c r="N754" s="20"/>
      <c r="O754" s="20">
        <f t="shared" si="149"/>
        <v>-1396741.03</v>
      </c>
      <c r="P754" s="20">
        <f t="shared" si="149"/>
        <v>2637432.35</v>
      </c>
      <c r="Q754" s="20"/>
      <c r="R754" s="20">
        <f t="shared" si="149"/>
        <v>0</v>
      </c>
      <c r="S754" s="20"/>
      <c r="T754" s="20">
        <f t="shared" si="149"/>
        <v>144165266.72</v>
      </c>
      <c r="U754" s="20"/>
      <c r="V754" s="20"/>
      <c r="W754" s="20"/>
      <c r="X754" s="20"/>
      <c r="Y754" s="20">
        <f t="shared" si="149"/>
        <v>42949470.289999999</v>
      </c>
      <c r="Z754" s="20"/>
      <c r="AA754" s="20"/>
      <c r="AB754" s="20"/>
      <c r="AC754" s="20"/>
      <c r="AD754" s="20">
        <f t="shared" si="149"/>
        <v>49053700.289999999</v>
      </c>
      <c r="AF754" s="30"/>
      <c r="AG754" s="30"/>
      <c r="AH754" s="30"/>
      <c r="AI754" s="30"/>
      <c r="AJ754" s="30"/>
      <c r="AK754" s="30"/>
      <c r="AL754" s="30"/>
    </row>
    <row r="755" spans="1:38" s="44" customFormat="1" ht="33.75" x14ac:dyDescent="0.25">
      <c r="A755" s="5" t="s">
        <v>28</v>
      </c>
      <c r="B755" s="5" t="s">
        <v>28</v>
      </c>
      <c r="C755" s="2" t="s">
        <v>238</v>
      </c>
      <c r="D755" s="11">
        <v>3</v>
      </c>
      <c r="E755" s="11">
        <v>11</v>
      </c>
      <c r="F755" s="11">
        <v>902</v>
      </c>
      <c r="G755" s="11" t="s">
        <v>265</v>
      </c>
      <c r="H755" s="21">
        <v>240</v>
      </c>
      <c r="I755" s="20">
        <f>I757</f>
        <v>107513509.29000001</v>
      </c>
      <c r="J755" s="20">
        <f>J757</f>
        <v>13371.71</v>
      </c>
      <c r="K755" s="20">
        <f>K757+K756</f>
        <v>0</v>
      </c>
      <c r="L755" s="20">
        <f>L757+L756</f>
        <v>1395741.22</v>
      </c>
      <c r="M755" s="20">
        <f>M757+M756</f>
        <v>1050</v>
      </c>
      <c r="N755" s="20"/>
      <c r="O755" s="20">
        <f>O757+O756</f>
        <v>-1396741.03</v>
      </c>
      <c r="P755" s="20">
        <f>P757+P756</f>
        <v>2637432.35</v>
      </c>
      <c r="Q755" s="20"/>
      <c r="R755" s="20">
        <f>R757+R756</f>
        <v>0</v>
      </c>
      <c r="S755" s="20"/>
      <c r="T755" s="20">
        <f>T757+T756</f>
        <v>144165266.72</v>
      </c>
      <c r="U755" s="20"/>
      <c r="V755" s="20"/>
      <c r="W755" s="20"/>
      <c r="X755" s="20"/>
      <c r="Y755" s="20">
        <f>Y757</f>
        <v>42949470.289999999</v>
      </c>
      <c r="Z755" s="20"/>
      <c r="AA755" s="20"/>
      <c r="AB755" s="20"/>
      <c r="AC755" s="20"/>
      <c r="AD755" s="20">
        <f>AD757</f>
        <v>49053700.289999999</v>
      </c>
      <c r="AF755" s="30"/>
      <c r="AG755" s="30"/>
      <c r="AH755" s="30"/>
      <c r="AI755" s="30"/>
      <c r="AJ755" s="30"/>
      <c r="AK755" s="30"/>
      <c r="AL755" s="30"/>
    </row>
    <row r="756" spans="1:38" s="44" customFormat="1" ht="22.5" x14ac:dyDescent="0.25">
      <c r="A756" s="5"/>
      <c r="B756" s="5" t="s">
        <v>254</v>
      </c>
      <c r="C756" s="2" t="s">
        <v>238</v>
      </c>
      <c r="D756" s="11">
        <v>3</v>
      </c>
      <c r="E756" s="11">
        <v>11</v>
      </c>
      <c r="F756" s="11">
        <v>902</v>
      </c>
      <c r="G756" s="11" t="s">
        <v>265</v>
      </c>
      <c r="H756" s="21">
        <v>243</v>
      </c>
      <c r="I756" s="20"/>
      <c r="J756" s="20"/>
      <c r="K756" s="20">
        <v>29472829</v>
      </c>
      <c r="L756" s="20">
        <v>307379.90999999997</v>
      </c>
      <c r="M756" s="20">
        <v>-1341055.8799999999</v>
      </c>
      <c r="N756" s="20"/>
      <c r="O756" s="20">
        <v>-409394.86</v>
      </c>
      <c r="P756" s="20">
        <v>979553.68</v>
      </c>
      <c r="Q756" s="20"/>
      <c r="R756" s="20">
        <v>521786.68</v>
      </c>
      <c r="S756" s="20">
        <v>12044800.85</v>
      </c>
      <c r="T756" s="20">
        <f>K756+L756+M756+O756+P756+R756+S756</f>
        <v>41575899.380000003</v>
      </c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F756" s="30"/>
      <c r="AG756" s="30"/>
      <c r="AH756" s="30"/>
      <c r="AI756" s="30"/>
      <c r="AJ756" s="30"/>
      <c r="AK756" s="30"/>
      <c r="AL756" s="30"/>
    </row>
    <row r="757" spans="1:38" s="44" customFormat="1" ht="33.75" x14ac:dyDescent="0.25">
      <c r="A757" s="5" t="s">
        <v>30</v>
      </c>
      <c r="B757" s="5" t="s">
        <v>30</v>
      </c>
      <c r="C757" s="2" t="s">
        <v>238</v>
      </c>
      <c r="D757" s="11">
        <v>3</v>
      </c>
      <c r="E757" s="11">
        <v>11</v>
      </c>
      <c r="F757" s="11">
        <v>902</v>
      </c>
      <c r="G757" s="11" t="s">
        <v>265</v>
      </c>
      <c r="H757" s="21">
        <v>244</v>
      </c>
      <c r="I757" s="20">
        <v>107513509.29000001</v>
      </c>
      <c r="J757" s="20">
        <v>13371.71</v>
      </c>
      <c r="K757" s="20">
        <v>-29472829</v>
      </c>
      <c r="L757" s="20">
        <v>1088361.31</v>
      </c>
      <c r="M757" s="20">
        <v>1342105.8799999999</v>
      </c>
      <c r="N757" s="20"/>
      <c r="O757" s="20">
        <v>-987346.17</v>
      </c>
      <c r="P757" s="20">
        <v>1657878.67</v>
      </c>
      <c r="Q757" s="20"/>
      <c r="R757" s="20">
        <v>-521786.68</v>
      </c>
      <c r="S757" s="20">
        <v>21956102.329999998</v>
      </c>
      <c r="T757" s="20">
        <f>107513509.29+J757+K757+L757+M757+O757+P757+R757+S757</f>
        <v>102589367.33999999</v>
      </c>
      <c r="U757" s="20"/>
      <c r="V757" s="20"/>
      <c r="W757" s="20"/>
      <c r="X757" s="20"/>
      <c r="Y757" s="20">
        <v>42949470.289999999</v>
      </c>
      <c r="Z757" s="20"/>
      <c r="AA757" s="20"/>
      <c r="AB757" s="20"/>
      <c r="AC757" s="20"/>
      <c r="AD757" s="20">
        <v>49053700.289999999</v>
      </c>
      <c r="AF757" s="30"/>
      <c r="AG757" s="30"/>
      <c r="AH757" s="30"/>
      <c r="AI757" s="30"/>
      <c r="AJ757" s="30"/>
      <c r="AK757" s="30"/>
      <c r="AL757" s="30"/>
    </row>
    <row r="758" spans="1:38" s="44" customFormat="1" ht="52.5" hidden="1" x14ac:dyDescent="0.25">
      <c r="A758" s="3" t="s">
        <v>266</v>
      </c>
      <c r="B758" s="3" t="s">
        <v>267</v>
      </c>
      <c r="C758" s="19" t="s">
        <v>238</v>
      </c>
      <c r="D758" s="13">
        <v>4</v>
      </c>
      <c r="E758" s="13"/>
      <c r="F758" s="13"/>
      <c r="G758" s="13"/>
      <c r="H758" s="14"/>
      <c r="I758" s="15">
        <f>I767+I763+I759</f>
        <v>0</v>
      </c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>
        <f>T767+T763+T759</f>
        <v>0</v>
      </c>
      <c r="U758" s="15"/>
      <c r="V758" s="15"/>
      <c r="W758" s="15"/>
      <c r="X758" s="15"/>
      <c r="Y758" s="15">
        <f>Y767+Y763+Y759</f>
        <v>0</v>
      </c>
      <c r="Z758" s="15"/>
      <c r="AA758" s="15"/>
      <c r="AB758" s="15"/>
      <c r="AC758" s="15"/>
      <c r="AD758" s="15">
        <f>AD767+AD763+AD759</f>
        <v>0</v>
      </c>
      <c r="AF758" s="30"/>
      <c r="AG758" s="30"/>
      <c r="AH758" s="30"/>
      <c r="AI758" s="30"/>
      <c r="AJ758" s="30"/>
      <c r="AK758" s="30"/>
      <c r="AL758" s="30"/>
    </row>
    <row r="759" spans="1:38" s="44" customFormat="1" ht="31.5" hidden="1" x14ac:dyDescent="0.25">
      <c r="A759" s="3" t="s">
        <v>268</v>
      </c>
      <c r="B759" s="49" t="s">
        <v>269</v>
      </c>
      <c r="C759" s="19" t="s">
        <v>238</v>
      </c>
      <c r="D759" s="13">
        <v>4</v>
      </c>
      <c r="E759" s="13">
        <v>11</v>
      </c>
      <c r="F759" s="13">
        <v>902</v>
      </c>
      <c r="G759" s="13">
        <v>81890</v>
      </c>
      <c r="H759" s="14"/>
      <c r="I759" s="15">
        <f>I760</f>
        <v>0</v>
      </c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>
        <f>T760</f>
        <v>0</v>
      </c>
      <c r="U759" s="15"/>
      <c r="V759" s="15"/>
      <c r="W759" s="15"/>
      <c r="X759" s="15"/>
      <c r="Y759" s="20"/>
      <c r="Z759" s="20"/>
      <c r="AA759" s="20"/>
      <c r="AB759" s="20"/>
      <c r="AC759" s="20"/>
      <c r="AD759" s="20"/>
      <c r="AF759" s="30"/>
      <c r="AG759" s="30"/>
      <c r="AH759" s="30"/>
      <c r="AI759" s="30"/>
      <c r="AJ759" s="30"/>
      <c r="AK759" s="30"/>
      <c r="AL759" s="30"/>
    </row>
    <row r="760" spans="1:38" s="44" customFormat="1" ht="33.75" hidden="1" x14ac:dyDescent="0.25">
      <c r="A760" s="5" t="s">
        <v>26</v>
      </c>
      <c r="B760" s="5" t="s">
        <v>26</v>
      </c>
      <c r="C760" s="2" t="s">
        <v>238</v>
      </c>
      <c r="D760" s="11">
        <v>4</v>
      </c>
      <c r="E760" s="11">
        <v>11</v>
      </c>
      <c r="F760" s="11">
        <v>902</v>
      </c>
      <c r="G760" s="11">
        <v>81890</v>
      </c>
      <c r="H760" s="21">
        <v>200</v>
      </c>
      <c r="I760" s="15">
        <f>I761</f>
        <v>0</v>
      </c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15">
        <f>T761</f>
        <v>0</v>
      </c>
      <c r="U760" s="15"/>
      <c r="V760" s="15"/>
      <c r="W760" s="15"/>
      <c r="X760" s="15"/>
      <c r="Y760" s="20"/>
      <c r="Z760" s="20"/>
      <c r="AA760" s="20"/>
      <c r="AB760" s="20"/>
      <c r="AC760" s="20"/>
      <c r="AD760" s="20"/>
      <c r="AF760" s="30"/>
      <c r="AG760" s="30"/>
      <c r="AH760" s="30"/>
      <c r="AI760" s="30"/>
      <c r="AJ760" s="30"/>
      <c r="AK760" s="30"/>
      <c r="AL760" s="30"/>
    </row>
    <row r="761" spans="1:38" s="44" customFormat="1" ht="33.75" hidden="1" x14ac:dyDescent="0.25">
      <c r="A761" s="5" t="s">
        <v>28</v>
      </c>
      <c r="B761" s="5" t="s">
        <v>28</v>
      </c>
      <c r="C761" s="2" t="s">
        <v>238</v>
      </c>
      <c r="D761" s="11">
        <v>4</v>
      </c>
      <c r="E761" s="11">
        <v>11</v>
      </c>
      <c r="F761" s="11">
        <v>902</v>
      </c>
      <c r="G761" s="11">
        <v>81890</v>
      </c>
      <c r="H761" s="21">
        <v>240</v>
      </c>
      <c r="I761" s="15">
        <f>I762</f>
        <v>0</v>
      </c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15">
        <f>T762</f>
        <v>0</v>
      </c>
      <c r="U761" s="15"/>
      <c r="V761" s="15"/>
      <c r="W761" s="15"/>
      <c r="X761" s="15"/>
      <c r="Y761" s="20"/>
      <c r="Z761" s="20"/>
      <c r="AA761" s="20"/>
      <c r="AB761" s="20"/>
      <c r="AC761" s="20"/>
      <c r="AD761" s="20"/>
      <c r="AF761" s="30"/>
      <c r="AG761" s="30"/>
      <c r="AH761" s="30"/>
      <c r="AI761" s="30"/>
      <c r="AJ761" s="30"/>
      <c r="AK761" s="30"/>
      <c r="AL761" s="30"/>
    </row>
    <row r="762" spans="1:38" s="44" customFormat="1" ht="45" hidden="1" x14ac:dyDescent="0.25">
      <c r="A762" s="5" t="s">
        <v>30</v>
      </c>
      <c r="B762" s="5" t="s">
        <v>30</v>
      </c>
      <c r="C762" s="2" t="s">
        <v>238</v>
      </c>
      <c r="D762" s="11">
        <v>4</v>
      </c>
      <c r="E762" s="11">
        <v>11</v>
      </c>
      <c r="F762" s="11">
        <v>902</v>
      </c>
      <c r="G762" s="11">
        <v>81890</v>
      </c>
      <c r="H762" s="21">
        <v>244</v>
      </c>
      <c r="I762" s="15">
        <v>0</v>
      </c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15">
        <v>0</v>
      </c>
      <c r="U762" s="15"/>
      <c r="V762" s="15"/>
      <c r="W762" s="15"/>
      <c r="X762" s="15"/>
      <c r="Y762" s="20"/>
      <c r="Z762" s="20"/>
      <c r="AA762" s="20"/>
      <c r="AB762" s="20"/>
      <c r="AC762" s="20"/>
      <c r="AD762" s="20"/>
      <c r="AF762" s="30"/>
      <c r="AG762" s="30"/>
      <c r="AH762" s="30"/>
      <c r="AI762" s="30"/>
      <c r="AJ762" s="30"/>
      <c r="AK762" s="30"/>
      <c r="AL762" s="30"/>
    </row>
    <row r="763" spans="1:38" s="44" customFormat="1" ht="74.25" hidden="1" customHeight="1" x14ac:dyDescent="0.25">
      <c r="A763" s="3" t="s">
        <v>270</v>
      </c>
      <c r="B763" s="49" t="s">
        <v>271</v>
      </c>
      <c r="C763" s="19" t="s">
        <v>238</v>
      </c>
      <c r="D763" s="13">
        <v>4</v>
      </c>
      <c r="E763" s="13">
        <v>11</v>
      </c>
      <c r="F763" s="13">
        <v>902</v>
      </c>
      <c r="G763" s="13" t="s">
        <v>272</v>
      </c>
      <c r="H763" s="21"/>
      <c r="I763" s="20">
        <f t="shared" ref="I763:AD765" si="150">I764</f>
        <v>0</v>
      </c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>
        <f t="shared" si="150"/>
        <v>0</v>
      </c>
      <c r="U763" s="20"/>
      <c r="V763" s="20"/>
      <c r="W763" s="20"/>
      <c r="X763" s="20"/>
      <c r="Y763" s="20">
        <f t="shared" si="150"/>
        <v>0</v>
      </c>
      <c r="Z763" s="20"/>
      <c r="AA763" s="20"/>
      <c r="AB763" s="20"/>
      <c r="AC763" s="20"/>
      <c r="AD763" s="20">
        <f t="shared" si="150"/>
        <v>0</v>
      </c>
      <c r="AF763" s="30"/>
      <c r="AG763" s="30"/>
      <c r="AH763" s="30"/>
      <c r="AI763" s="30"/>
      <c r="AJ763" s="30"/>
      <c r="AK763" s="30"/>
      <c r="AL763" s="30"/>
    </row>
    <row r="764" spans="1:38" s="44" customFormat="1" ht="33.75" hidden="1" x14ac:dyDescent="0.25">
      <c r="A764" s="5" t="s">
        <v>26</v>
      </c>
      <c r="B764" s="5" t="s">
        <v>26</v>
      </c>
      <c r="C764" s="2" t="s">
        <v>238</v>
      </c>
      <c r="D764" s="11">
        <v>4</v>
      </c>
      <c r="E764" s="11">
        <v>11</v>
      </c>
      <c r="F764" s="11">
        <v>902</v>
      </c>
      <c r="G764" s="11" t="s">
        <v>272</v>
      </c>
      <c r="H764" s="21">
        <v>200</v>
      </c>
      <c r="I764" s="20">
        <f t="shared" si="150"/>
        <v>0</v>
      </c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>
        <f t="shared" si="150"/>
        <v>0</v>
      </c>
      <c r="U764" s="20"/>
      <c r="V764" s="20"/>
      <c r="W764" s="20"/>
      <c r="X764" s="20"/>
      <c r="Y764" s="20">
        <f t="shared" si="150"/>
        <v>0</v>
      </c>
      <c r="Z764" s="20"/>
      <c r="AA764" s="20"/>
      <c r="AB764" s="20"/>
      <c r="AC764" s="20"/>
      <c r="AD764" s="20">
        <f t="shared" si="150"/>
        <v>0</v>
      </c>
      <c r="AF764" s="30"/>
      <c r="AG764" s="30"/>
      <c r="AH764" s="30"/>
      <c r="AI764" s="30"/>
      <c r="AJ764" s="30"/>
      <c r="AK764" s="30"/>
      <c r="AL764" s="30"/>
    </row>
    <row r="765" spans="1:38" s="44" customFormat="1" ht="33.75" hidden="1" x14ac:dyDescent="0.25">
      <c r="A765" s="5" t="s">
        <v>28</v>
      </c>
      <c r="B765" s="5" t="s">
        <v>28</v>
      </c>
      <c r="C765" s="2" t="s">
        <v>238</v>
      </c>
      <c r="D765" s="11">
        <v>4</v>
      </c>
      <c r="E765" s="11">
        <v>11</v>
      </c>
      <c r="F765" s="11">
        <v>902</v>
      </c>
      <c r="G765" s="11" t="s">
        <v>272</v>
      </c>
      <c r="H765" s="21">
        <v>240</v>
      </c>
      <c r="I765" s="20">
        <f t="shared" si="150"/>
        <v>0</v>
      </c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>
        <f t="shared" si="150"/>
        <v>0</v>
      </c>
      <c r="U765" s="20"/>
      <c r="V765" s="20"/>
      <c r="W765" s="20"/>
      <c r="X765" s="20"/>
      <c r="Y765" s="20">
        <f t="shared" si="150"/>
        <v>0</v>
      </c>
      <c r="Z765" s="20"/>
      <c r="AA765" s="20"/>
      <c r="AB765" s="20"/>
      <c r="AC765" s="20"/>
      <c r="AD765" s="20">
        <f t="shared" si="150"/>
        <v>0</v>
      </c>
      <c r="AF765" s="30"/>
      <c r="AG765" s="30"/>
      <c r="AH765" s="30"/>
      <c r="AI765" s="30"/>
      <c r="AJ765" s="30"/>
      <c r="AK765" s="30"/>
      <c r="AL765" s="30"/>
    </row>
    <row r="766" spans="1:38" s="44" customFormat="1" ht="45" hidden="1" x14ac:dyDescent="0.25">
      <c r="A766" s="5" t="s">
        <v>30</v>
      </c>
      <c r="B766" s="5" t="s">
        <v>30</v>
      </c>
      <c r="C766" s="2" t="s">
        <v>238</v>
      </c>
      <c r="D766" s="11">
        <v>4</v>
      </c>
      <c r="E766" s="11">
        <v>11</v>
      </c>
      <c r="F766" s="11">
        <v>902</v>
      </c>
      <c r="G766" s="11" t="s">
        <v>272</v>
      </c>
      <c r="H766" s="21">
        <v>244</v>
      </c>
      <c r="I766" s="20">
        <v>0</v>
      </c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>
        <v>0</v>
      </c>
      <c r="U766" s="20"/>
      <c r="V766" s="20"/>
      <c r="W766" s="20"/>
      <c r="X766" s="20"/>
      <c r="Y766" s="20">
        <v>0</v>
      </c>
      <c r="Z766" s="20"/>
      <c r="AA766" s="20"/>
      <c r="AB766" s="20"/>
      <c r="AC766" s="20"/>
      <c r="AD766" s="20">
        <v>0</v>
      </c>
      <c r="AF766" s="30"/>
      <c r="AG766" s="30"/>
      <c r="AH766" s="30"/>
      <c r="AI766" s="30"/>
      <c r="AJ766" s="30"/>
      <c r="AK766" s="30"/>
      <c r="AL766" s="30"/>
    </row>
    <row r="767" spans="1:38" s="44" customFormat="1" ht="52.5" hidden="1" x14ac:dyDescent="0.25">
      <c r="A767" s="3" t="s">
        <v>270</v>
      </c>
      <c r="B767" s="3" t="s">
        <v>270</v>
      </c>
      <c r="C767" s="19" t="s">
        <v>238</v>
      </c>
      <c r="D767" s="13">
        <v>4</v>
      </c>
      <c r="E767" s="13">
        <v>11</v>
      </c>
      <c r="F767" s="13">
        <v>902</v>
      </c>
      <c r="G767" s="13" t="s">
        <v>273</v>
      </c>
      <c r="H767" s="21"/>
      <c r="I767" s="20">
        <f>I768</f>
        <v>0</v>
      </c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>
        <f>T768</f>
        <v>0</v>
      </c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F767" s="30"/>
      <c r="AG767" s="30"/>
      <c r="AH767" s="30"/>
      <c r="AI767" s="30"/>
      <c r="AJ767" s="30"/>
      <c r="AK767" s="30"/>
      <c r="AL767" s="30"/>
    </row>
    <row r="768" spans="1:38" s="44" customFormat="1" ht="33.75" hidden="1" x14ac:dyDescent="0.25">
      <c r="A768" s="5" t="s">
        <v>26</v>
      </c>
      <c r="B768" s="5" t="s">
        <v>26</v>
      </c>
      <c r="C768" s="2" t="s">
        <v>238</v>
      </c>
      <c r="D768" s="11">
        <v>4</v>
      </c>
      <c r="E768" s="11">
        <v>11</v>
      </c>
      <c r="F768" s="11">
        <v>902</v>
      </c>
      <c r="G768" s="11" t="s">
        <v>273</v>
      </c>
      <c r="H768" s="21">
        <v>200</v>
      </c>
      <c r="I768" s="20">
        <f>I769</f>
        <v>0</v>
      </c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>
        <f>T769</f>
        <v>0</v>
      </c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F768" s="30"/>
      <c r="AG768" s="30"/>
      <c r="AH768" s="30"/>
      <c r="AI768" s="30"/>
      <c r="AJ768" s="30"/>
      <c r="AK768" s="30"/>
      <c r="AL768" s="30"/>
    </row>
    <row r="769" spans="1:38" s="44" customFormat="1" ht="33.75" hidden="1" x14ac:dyDescent="0.25">
      <c r="A769" s="5" t="s">
        <v>28</v>
      </c>
      <c r="B769" s="5" t="s">
        <v>28</v>
      </c>
      <c r="C769" s="2" t="s">
        <v>238</v>
      </c>
      <c r="D769" s="11">
        <v>4</v>
      </c>
      <c r="E769" s="11">
        <v>11</v>
      </c>
      <c r="F769" s="11">
        <v>902</v>
      </c>
      <c r="G769" s="11" t="s">
        <v>273</v>
      </c>
      <c r="H769" s="21">
        <v>240</v>
      </c>
      <c r="I769" s="20">
        <f>I770</f>
        <v>0</v>
      </c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>
        <f>T770</f>
        <v>0</v>
      </c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F769" s="30"/>
      <c r="AG769" s="30"/>
      <c r="AH769" s="30"/>
      <c r="AI769" s="30"/>
      <c r="AJ769" s="30"/>
      <c r="AK769" s="30"/>
      <c r="AL769" s="30"/>
    </row>
    <row r="770" spans="1:38" s="44" customFormat="1" ht="45" hidden="1" x14ac:dyDescent="0.25">
      <c r="A770" s="5" t="s">
        <v>30</v>
      </c>
      <c r="B770" s="5" t="s">
        <v>30</v>
      </c>
      <c r="C770" s="2" t="s">
        <v>238</v>
      </c>
      <c r="D770" s="11">
        <v>4</v>
      </c>
      <c r="E770" s="11">
        <v>11</v>
      </c>
      <c r="F770" s="11">
        <v>902</v>
      </c>
      <c r="G770" s="11" t="s">
        <v>273</v>
      </c>
      <c r="H770" s="21">
        <v>244</v>
      </c>
      <c r="I770" s="20">
        <v>0</v>
      </c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>
        <v>0</v>
      </c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F770" s="30"/>
      <c r="AG770" s="30"/>
      <c r="AH770" s="30"/>
      <c r="AI770" s="30"/>
      <c r="AJ770" s="30"/>
      <c r="AK770" s="30"/>
      <c r="AL770" s="30"/>
    </row>
    <row r="771" spans="1:38" s="44" customFormat="1" ht="31.5" x14ac:dyDescent="0.25">
      <c r="A771" s="3"/>
      <c r="B771" s="3" t="s">
        <v>274</v>
      </c>
      <c r="C771" s="19" t="s">
        <v>238</v>
      </c>
      <c r="D771" s="13">
        <v>5</v>
      </c>
      <c r="E771" s="13"/>
      <c r="F771" s="13"/>
      <c r="G771" s="13"/>
      <c r="H771" s="14"/>
      <c r="I771" s="15">
        <f>I776</f>
        <v>0</v>
      </c>
      <c r="J771" s="15"/>
      <c r="K771" s="15"/>
      <c r="L771" s="15"/>
      <c r="M771" s="15"/>
      <c r="N771" s="15"/>
      <c r="O771" s="15"/>
      <c r="P771" s="15"/>
      <c r="Q771" s="15"/>
      <c r="R771" s="15">
        <f>R776</f>
        <v>145000</v>
      </c>
      <c r="S771" s="15"/>
      <c r="T771" s="15">
        <f>T776+T772</f>
        <v>14339617.029999999</v>
      </c>
      <c r="U771" s="15"/>
      <c r="V771" s="15"/>
      <c r="W771" s="15"/>
      <c r="X771" s="15">
        <f>X776</f>
        <v>-990000</v>
      </c>
      <c r="Y771" s="15">
        <f>Y776+Y772</f>
        <v>20010000</v>
      </c>
      <c r="Z771" s="15"/>
      <c r="AA771" s="15"/>
      <c r="AB771" s="15"/>
      <c r="AC771" s="15">
        <f>AC776</f>
        <v>-93288947.400000006</v>
      </c>
      <c r="AD771" s="15">
        <f>AD776+AD772</f>
        <v>24711052.599999994</v>
      </c>
      <c r="AF771" s="30"/>
      <c r="AG771" s="30"/>
      <c r="AH771" s="30"/>
      <c r="AI771" s="30"/>
      <c r="AJ771" s="30"/>
      <c r="AK771" s="30"/>
      <c r="AL771" s="30"/>
    </row>
    <row r="772" spans="1:38" s="44" customFormat="1" ht="31.5" x14ac:dyDescent="0.25">
      <c r="A772" s="3"/>
      <c r="B772" s="3" t="s">
        <v>363</v>
      </c>
      <c r="C772" s="19" t="s">
        <v>238</v>
      </c>
      <c r="D772" s="13">
        <v>5</v>
      </c>
      <c r="E772" s="13" t="s">
        <v>246</v>
      </c>
      <c r="F772" s="13">
        <v>902</v>
      </c>
      <c r="G772" s="13">
        <v>11270</v>
      </c>
      <c r="H772" s="14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>
        <f>T773</f>
        <v>14339617.029999999</v>
      </c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F772" s="30"/>
      <c r="AG772" s="30"/>
      <c r="AH772" s="30"/>
      <c r="AI772" s="30"/>
      <c r="AJ772" s="30"/>
      <c r="AK772" s="30"/>
      <c r="AL772" s="30"/>
    </row>
    <row r="773" spans="1:38" s="44" customFormat="1" ht="22.5" x14ac:dyDescent="0.25">
      <c r="A773" s="3"/>
      <c r="B773" s="5" t="s">
        <v>70</v>
      </c>
      <c r="C773" s="2" t="s">
        <v>238</v>
      </c>
      <c r="D773" s="11">
        <v>5</v>
      </c>
      <c r="E773" s="11" t="s">
        <v>246</v>
      </c>
      <c r="F773" s="11">
        <v>902</v>
      </c>
      <c r="G773" s="11">
        <v>11270</v>
      </c>
      <c r="H773" s="21">
        <v>400</v>
      </c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>
        <f>T774</f>
        <v>14339617.029999999</v>
      </c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F773" s="30"/>
      <c r="AG773" s="30"/>
      <c r="AH773" s="30"/>
      <c r="AI773" s="30"/>
      <c r="AJ773" s="30"/>
      <c r="AK773" s="30"/>
      <c r="AL773" s="30"/>
    </row>
    <row r="774" spans="1:38" s="44" customFormat="1" x14ac:dyDescent="0.25">
      <c r="A774" s="3"/>
      <c r="B774" s="5" t="s">
        <v>71</v>
      </c>
      <c r="C774" s="2" t="s">
        <v>238</v>
      </c>
      <c r="D774" s="11">
        <v>5</v>
      </c>
      <c r="E774" s="11" t="s">
        <v>246</v>
      </c>
      <c r="F774" s="11">
        <v>902</v>
      </c>
      <c r="G774" s="11">
        <v>11270</v>
      </c>
      <c r="H774" s="21">
        <v>410</v>
      </c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>
        <f>T775</f>
        <v>14339617.029999999</v>
      </c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F774" s="30"/>
      <c r="AG774" s="30"/>
      <c r="AH774" s="30"/>
      <c r="AI774" s="30"/>
      <c r="AJ774" s="30"/>
      <c r="AK774" s="30"/>
      <c r="AL774" s="30"/>
    </row>
    <row r="775" spans="1:38" s="44" customFormat="1" ht="33.75" x14ac:dyDescent="0.25">
      <c r="A775" s="3"/>
      <c r="B775" s="5" t="s">
        <v>94</v>
      </c>
      <c r="C775" s="2" t="s">
        <v>238</v>
      </c>
      <c r="D775" s="11">
        <v>5</v>
      </c>
      <c r="E775" s="11" t="s">
        <v>246</v>
      </c>
      <c r="F775" s="11">
        <v>902</v>
      </c>
      <c r="G775" s="11">
        <v>11270</v>
      </c>
      <c r="H775" s="21">
        <v>414</v>
      </c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20">
        <v>14339617.029999999</v>
      </c>
      <c r="T775" s="15">
        <f>S775</f>
        <v>14339617.029999999</v>
      </c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F775" s="30"/>
      <c r="AG775" s="30"/>
      <c r="AH775" s="30"/>
      <c r="AI775" s="30"/>
      <c r="AJ775" s="30"/>
      <c r="AK775" s="30"/>
      <c r="AL775" s="30"/>
    </row>
    <row r="776" spans="1:38" s="44" customFormat="1" ht="22.5" x14ac:dyDescent="0.25">
      <c r="A776" s="5"/>
      <c r="B776" s="5" t="s">
        <v>245</v>
      </c>
      <c r="C776" s="2" t="s">
        <v>238</v>
      </c>
      <c r="D776" s="11">
        <v>5</v>
      </c>
      <c r="E776" s="11" t="s">
        <v>246</v>
      </c>
      <c r="F776" s="11">
        <v>902</v>
      </c>
      <c r="G776" s="11">
        <v>52430</v>
      </c>
      <c r="H776" s="21"/>
      <c r="I776" s="20">
        <f>I777</f>
        <v>0</v>
      </c>
      <c r="J776" s="20"/>
      <c r="K776" s="20"/>
      <c r="L776" s="20"/>
      <c r="M776" s="20"/>
      <c r="N776" s="20"/>
      <c r="O776" s="20"/>
      <c r="P776" s="20"/>
      <c r="Q776" s="20"/>
      <c r="R776" s="20">
        <f t="shared" ref="R776:T778" si="151">R777</f>
        <v>145000</v>
      </c>
      <c r="S776" s="20"/>
      <c r="T776" s="20">
        <f t="shared" si="151"/>
        <v>0</v>
      </c>
      <c r="U776" s="20"/>
      <c r="V776" s="20"/>
      <c r="W776" s="20"/>
      <c r="X776" s="20">
        <f t="shared" ref="X776:AD778" si="152">X777</f>
        <v>-990000</v>
      </c>
      <c r="Y776" s="20">
        <f t="shared" si="152"/>
        <v>20010000</v>
      </c>
      <c r="Z776" s="20"/>
      <c r="AA776" s="20"/>
      <c r="AB776" s="20"/>
      <c r="AC776" s="20">
        <f t="shared" si="152"/>
        <v>-93288947.400000006</v>
      </c>
      <c r="AD776" s="20">
        <f t="shared" si="152"/>
        <v>24711052.599999994</v>
      </c>
      <c r="AF776" s="30"/>
      <c r="AG776" s="30"/>
      <c r="AH776" s="30"/>
      <c r="AI776" s="30"/>
      <c r="AJ776" s="30"/>
      <c r="AK776" s="30"/>
      <c r="AL776" s="30"/>
    </row>
    <row r="777" spans="1:38" s="44" customFormat="1" ht="22.5" x14ac:dyDescent="0.25">
      <c r="A777" s="5"/>
      <c r="B777" s="5" t="s">
        <v>70</v>
      </c>
      <c r="C777" s="2" t="s">
        <v>238</v>
      </c>
      <c r="D777" s="11">
        <v>5</v>
      </c>
      <c r="E777" s="11" t="s">
        <v>246</v>
      </c>
      <c r="F777" s="11">
        <v>902</v>
      </c>
      <c r="G777" s="11">
        <v>52430</v>
      </c>
      <c r="H777" s="21">
        <v>400</v>
      </c>
      <c r="I777" s="20">
        <f>I778</f>
        <v>0</v>
      </c>
      <c r="J777" s="20"/>
      <c r="K777" s="20"/>
      <c r="L777" s="20"/>
      <c r="M777" s="20"/>
      <c r="N777" s="20"/>
      <c r="O777" s="20"/>
      <c r="P777" s="20"/>
      <c r="Q777" s="20"/>
      <c r="R777" s="20">
        <f t="shared" si="151"/>
        <v>145000</v>
      </c>
      <c r="S777" s="20"/>
      <c r="T777" s="20">
        <f t="shared" si="151"/>
        <v>0</v>
      </c>
      <c r="U777" s="20"/>
      <c r="V777" s="20"/>
      <c r="W777" s="20"/>
      <c r="X777" s="20">
        <f t="shared" si="152"/>
        <v>-990000</v>
      </c>
      <c r="Y777" s="20">
        <f t="shared" si="152"/>
        <v>20010000</v>
      </c>
      <c r="Z777" s="20"/>
      <c r="AA777" s="20"/>
      <c r="AB777" s="20"/>
      <c r="AC777" s="20">
        <f t="shared" si="152"/>
        <v>-93288947.400000006</v>
      </c>
      <c r="AD777" s="20">
        <f t="shared" si="152"/>
        <v>24711052.599999994</v>
      </c>
      <c r="AF777" s="30"/>
      <c r="AG777" s="30"/>
      <c r="AH777" s="30"/>
      <c r="AI777" s="30"/>
      <c r="AJ777" s="30"/>
      <c r="AK777" s="30"/>
      <c r="AL777" s="30"/>
    </row>
    <row r="778" spans="1:38" s="44" customFormat="1" x14ac:dyDescent="0.25">
      <c r="A778" s="5"/>
      <c r="B778" s="5" t="s">
        <v>71</v>
      </c>
      <c r="C778" s="2" t="s">
        <v>238</v>
      </c>
      <c r="D778" s="11">
        <v>5</v>
      </c>
      <c r="E778" s="11" t="s">
        <v>246</v>
      </c>
      <c r="F778" s="11">
        <v>902</v>
      </c>
      <c r="G778" s="11">
        <v>52430</v>
      </c>
      <c r="H778" s="21">
        <v>410</v>
      </c>
      <c r="I778" s="20">
        <f>I779</f>
        <v>0</v>
      </c>
      <c r="J778" s="20"/>
      <c r="K778" s="20"/>
      <c r="L778" s="20"/>
      <c r="M778" s="20"/>
      <c r="N778" s="20"/>
      <c r="O778" s="20"/>
      <c r="P778" s="20"/>
      <c r="Q778" s="20"/>
      <c r="R778" s="20">
        <f t="shared" si="151"/>
        <v>145000</v>
      </c>
      <c r="S778" s="20"/>
      <c r="T778" s="20">
        <f t="shared" si="151"/>
        <v>0</v>
      </c>
      <c r="U778" s="20"/>
      <c r="V778" s="20"/>
      <c r="W778" s="20"/>
      <c r="X778" s="20">
        <f t="shared" si="152"/>
        <v>-990000</v>
      </c>
      <c r="Y778" s="20">
        <f t="shared" si="152"/>
        <v>20010000</v>
      </c>
      <c r="Z778" s="20"/>
      <c r="AA778" s="20"/>
      <c r="AB778" s="20"/>
      <c r="AC778" s="20">
        <f t="shared" si="152"/>
        <v>-93288947.400000006</v>
      </c>
      <c r="AD778" s="20">
        <f t="shared" si="152"/>
        <v>24711052.599999994</v>
      </c>
      <c r="AF778" s="30"/>
      <c r="AG778" s="30"/>
      <c r="AH778" s="30"/>
      <c r="AI778" s="30"/>
      <c r="AJ778" s="30"/>
      <c r="AK778" s="30"/>
      <c r="AL778" s="30"/>
    </row>
    <row r="779" spans="1:38" s="44" customFormat="1" ht="33.75" x14ac:dyDescent="0.25">
      <c r="A779" s="5"/>
      <c r="B779" s="5" t="s">
        <v>94</v>
      </c>
      <c r="C779" s="2" t="s">
        <v>238</v>
      </c>
      <c r="D779" s="11">
        <v>5</v>
      </c>
      <c r="E779" s="11" t="s">
        <v>246</v>
      </c>
      <c r="F779" s="11">
        <v>902</v>
      </c>
      <c r="G779" s="11">
        <v>52430</v>
      </c>
      <c r="H779" s="21">
        <v>414</v>
      </c>
      <c r="I779" s="20">
        <v>0</v>
      </c>
      <c r="J779" s="20"/>
      <c r="K779" s="20"/>
      <c r="L779" s="20"/>
      <c r="M779" s="20"/>
      <c r="N779" s="20"/>
      <c r="O779" s="20"/>
      <c r="P779" s="20"/>
      <c r="Q779" s="20"/>
      <c r="R779" s="20">
        <v>145000</v>
      </c>
      <c r="S779" s="20">
        <v>-145000</v>
      </c>
      <c r="T779" s="20">
        <f>R779+S779</f>
        <v>0</v>
      </c>
      <c r="U779" s="20"/>
      <c r="V779" s="20"/>
      <c r="W779" s="20"/>
      <c r="X779" s="20">
        <v>-990000</v>
      </c>
      <c r="Y779" s="20">
        <f>21000000+X779</f>
        <v>20010000</v>
      </c>
      <c r="Z779" s="20"/>
      <c r="AA779" s="20"/>
      <c r="AB779" s="20"/>
      <c r="AC779" s="20">
        <v>-93288947.400000006</v>
      </c>
      <c r="AD779" s="20">
        <f>118000000+AC779</f>
        <v>24711052.599999994</v>
      </c>
      <c r="AF779" s="30"/>
      <c r="AG779" s="30"/>
      <c r="AH779" s="30"/>
      <c r="AI779" s="30"/>
      <c r="AJ779" s="30"/>
      <c r="AK779" s="30"/>
      <c r="AL779" s="30"/>
    </row>
    <row r="780" spans="1:38" ht="77.25" customHeight="1" x14ac:dyDescent="0.25">
      <c r="A780" s="58" t="s">
        <v>275</v>
      </c>
      <c r="B780" s="3" t="s">
        <v>326</v>
      </c>
      <c r="C780" s="19" t="s">
        <v>276</v>
      </c>
      <c r="D780" s="13"/>
      <c r="E780" s="13"/>
      <c r="F780" s="13"/>
      <c r="G780" s="13"/>
      <c r="H780" s="14"/>
      <c r="I780" s="15">
        <f>I781</f>
        <v>3924045.71</v>
      </c>
      <c r="J780" s="15"/>
      <c r="K780" s="15"/>
      <c r="L780" s="15"/>
      <c r="M780" s="15"/>
      <c r="N780" s="15"/>
      <c r="O780" s="15"/>
      <c r="P780" s="15">
        <f>P781</f>
        <v>-36037.800000000003</v>
      </c>
      <c r="Q780" s="15"/>
      <c r="R780" s="15"/>
      <c r="S780" s="15"/>
      <c r="T780" s="15">
        <f>T781</f>
        <v>3884017.62</v>
      </c>
      <c r="U780" s="15"/>
      <c r="V780" s="15"/>
      <c r="W780" s="15"/>
      <c r="X780" s="15"/>
      <c r="Y780" s="15">
        <f>Y781</f>
        <v>3924045.71</v>
      </c>
      <c r="Z780" s="15"/>
      <c r="AA780" s="15"/>
      <c r="AB780" s="15"/>
      <c r="AC780" s="15"/>
      <c r="AD780" s="15">
        <f>AD781</f>
        <v>3924045.71</v>
      </c>
    </row>
    <row r="781" spans="1:38" ht="39" customHeight="1" x14ac:dyDescent="0.25">
      <c r="A781" s="58" t="s">
        <v>277</v>
      </c>
      <c r="B781" s="3" t="s">
        <v>327</v>
      </c>
      <c r="C781" s="19" t="s">
        <v>276</v>
      </c>
      <c r="D781" s="13">
        <v>1</v>
      </c>
      <c r="E781" s="13"/>
      <c r="F781" s="13"/>
      <c r="G781" s="13"/>
      <c r="H781" s="14"/>
      <c r="I781" s="15">
        <f>I783</f>
        <v>3924045.71</v>
      </c>
      <c r="J781" s="15"/>
      <c r="K781" s="15"/>
      <c r="L781" s="15"/>
      <c r="M781" s="15"/>
      <c r="N781" s="15"/>
      <c r="O781" s="15"/>
      <c r="P781" s="15">
        <f>P783</f>
        <v>-36037.800000000003</v>
      </c>
      <c r="Q781" s="15"/>
      <c r="R781" s="15"/>
      <c r="S781" s="15"/>
      <c r="T781" s="15">
        <f>T783</f>
        <v>3884017.62</v>
      </c>
      <c r="U781" s="15"/>
      <c r="V781" s="15"/>
      <c r="W781" s="15"/>
      <c r="X781" s="15"/>
      <c r="Y781" s="15">
        <f>Y783</f>
        <v>3924045.71</v>
      </c>
      <c r="Z781" s="15"/>
      <c r="AA781" s="15"/>
      <c r="AB781" s="15"/>
      <c r="AC781" s="15"/>
      <c r="AD781" s="15">
        <f>AD783</f>
        <v>3924045.71</v>
      </c>
    </row>
    <row r="782" spans="1:38" ht="75.75" customHeight="1" x14ac:dyDescent="0.25">
      <c r="A782" s="58" t="s">
        <v>278</v>
      </c>
      <c r="B782" s="3" t="s">
        <v>278</v>
      </c>
      <c r="C782" s="19" t="s">
        <v>276</v>
      </c>
      <c r="D782" s="13">
        <v>1</v>
      </c>
      <c r="E782" s="13">
        <v>11</v>
      </c>
      <c r="F782" s="13"/>
      <c r="G782" s="13"/>
      <c r="H782" s="14"/>
      <c r="I782" s="15">
        <f t="shared" ref="I782:AD786" si="153">I783</f>
        <v>3924045.71</v>
      </c>
      <c r="J782" s="15"/>
      <c r="K782" s="15"/>
      <c r="L782" s="15"/>
      <c r="M782" s="15"/>
      <c r="N782" s="15"/>
      <c r="O782" s="15"/>
      <c r="P782" s="15">
        <f t="shared" si="153"/>
        <v>-36037.800000000003</v>
      </c>
      <c r="Q782" s="15"/>
      <c r="R782" s="15"/>
      <c r="S782" s="15"/>
      <c r="T782" s="15">
        <f t="shared" si="153"/>
        <v>3884017.62</v>
      </c>
      <c r="U782" s="15"/>
      <c r="V782" s="15"/>
      <c r="W782" s="15"/>
      <c r="X782" s="15"/>
      <c r="Y782" s="15">
        <f t="shared" si="153"/>
        <v>3924045.71</v>
      </c>
      <c r="Z782" s="15"/>
      <c r="AA782" s="15"/>
      <c r="AB782" s="15"/>
      <c r="AC782" s="15"/>
      <c r="AD782" s="15">
        <f t="shared" si="153"/>
        <v>3924045.71</v>
      </c>
    </row>
    <row r="783" spans="1:38" ht="21" x14ac:dyDescent="0.25">
      <c r="A783" s="3" t="s">
        <v>178</v>
      </c>
      <c r="B783" s="3" t="s">
        <v>178</v>
      </c>
      <c r="C783" s="19" t="s">
        <v>276</v>
      </c>
      <c r="D783" s="13">
        <v>1</v>
      </c>
      <c r="E783" s="13">
        <v>11</v>
      </c>
      <c r="F783" s="13">
        <v>903</v>
      </c>
      <c r="G783" s="13"/>
      <c r="H783" s="14"/>
      <c r="I783" s="15">
        <f t="shared" si="153"/>
        <v>3924045.71</v>
      </c>
      <c r="J783" s="15"/>
      <c r="K783" s="15"/>
      <c r="L783" s="15"/>
      <c r="M783" s="15"/>
      <c r="N783" s="15"/>
      <c r="O783" s="15"/>
      <c r="P783" s="15">
        <f t="shared" si="153"/>
        <v>-36037.800000000003</v>
      </c>
      <c r="Q783" s="15"/>
      <c r="R783" s="15"/>
      <c r="S783" s="15"/>
      <c r="T783" s="15">
        <f t="shared" si="153"/>
        <v>3884017.62</v>
      </c>
      <c r="U783" s="15"/>
      <c r="V783" s="15"/>
      <c r="W783" s="15"/>
      <c r="X783" s="15"/>
      <c r="Y783" s="15">
        <f t="shared" si="153"/>
        <v>3924045.71</v>
      </c>
      <c r="Z783" s="15"/>
      <c r="AA783" s="15"/>
      <c r="AB783" s="15"/>
      <c r="AC783" s="15"/>
      <c r="AD783" s="15">
        <f t="shared" si="153"/>
        <v>3924045.71</v>
      </c>
    </row>
    <row r="784" spans="1:38" s="44" customFormat="1" ht="87" customHeight="1" x14ac:dyDescent="0.25">
      <c r="A784" s="61" t="s">
        <v>279</v>
      </c>
      <c r="B784" s="49" t="s">
        <v>280</v>
      </c>
      <c r="C784" s="19" t="s">
        <v>276</v>
      </c>
      <c r="D784" s="13">
        <v>1</v>
      </c>
      <c r="E784" s="13">
        <v>11</v>
      </c>
      <c r="F784" s="13">
        <v>903</v>
      </c>
      <c r="G784" s="19" t="s">
        <v>281</v>
      </c>
      <c r="H784" s="14"/>
      <c r="I784" s="15">
        <f t="shared" si="153"/>
        <v>3924045.71</v>
      </c>
      <c r="J784" s="15"/>
      <c r="K784" s="15"/>
      <c r="L784" s="15"/>
      <c r="M784" s="15"/>
      <c r="N784" s="15"/>
      <c r="O784" s="15"/>
      <c r="P784" s="15">
        <f t="shared" si="153"/>
        <v>-36037.800000000003</v>
      </c>
      <c r="Q784" s="15"/>
      <c r="R784" s="15"/>
      <c r="S784" s="15"/>
      <c r="T784" s="15">
        <f t="shared" si="153"/>
        <v>3884017.62</v>
      </c>
      <c r="U784" s="15"/>
      <c r="V784" s="15"/>
      <c r="W784" s="15"/>
      <c r="X784" s="15"/>
      <c r="Y784" s="15">
        <f t="shared" si="153"/>
        <v>3924045.71</v>
      </c>
      <c r="Z784" s="15"/>
      <c r="AA784" s="15"/>
      <c r="AB784" s="15"/>
      <c r="AC784" s="15"/>
      <c r="AD784" s="15">
        <f t="shared" si="153"/>
        <v>3924045.71</v>
      </c>
      <c r="AF784" s="30"/>
      <c r="AG784" s="30"/>
      <c r="AH784" s="30"/>
      <c r="AI784" s="30"/>
      <c r="AJ784" s="30"/>
      <c r="AK784" s="30"/>
      <c r="AL784" s="30"/>
    </row>
    <row r="785" spans="1:38" s="44" customFormat="1" ht="22.5" x14ac:dyDescent="0.25">
      <c r="A785" s="5" t="s">
        <v>40</v>
      </c>
      <c r="B785" s="5" t="s">
        <v>40</v>
      </c>
      <c r="C785" s="2" t="s">
        <v>276</v>
      </c>
      <c r="D785" s="11">
        <v>1</v>
      </c>
      <c r="E785" s="11">
        <v>11</v>
      </c>
      <c r="F785" s="11">
        <v>903</v>
      </c>
      <c r="G785" s="2" t="s">
        <v>281</v>
      </c>
      <c r="H785" s="21">
        <v>300</v>
      </c>
      <c r="I785" s="20">
        <f t="shared" si="153"/>
        <v>3924045.71</v>
      </c>
      <c r="J785" s="20"/>
      <c r="K785" s="20"/>
      <c r="L785" s="20"/>
      <c r="M785" s="20"/>
      <c r="N785" s="20"/>
      <c r="O785" s="20"/>
      <c r="P785" s="20">
        <f t="shared" si="153"/>
        <v>-36037.800000000003</v>
      </c>
      <c r="Q785" s="20"/>
      <c r="R785" s="20"/>
      <c r="S785" s="20"/>
      <c r="T785" s="20">
        <f t="shared" si="153"/>
        <v>3884017.62</v>
      </c>
      <c r="U785" s="20"/>
      <c r="V785" s="20"/>
      <c r="W785" s="20"/>
      <c r="X785" s="20"/>
      <c r="Y785" s="20">
        <f t="shared" si="153"/>
        <v>3924045.71</v>
      </c>
      <c r="Z785" s="20"/>
      <c r="AA785" s="20"/>
      <c r="AB785" s="20"/>
      <c r="AC785" s="20"/>
      <c r="AD785" s="20">
        <f t="shared" si="153"/>
        <v>3924045.71</v>
      </c>
      <c r="AF785" s="30"/>
      <c r="AG785" s="30"/>
      <c r="AH785" s="30"/>
      <c r="AI785" s="30"/>
      <c r="AJ785" s="30"/>
      <c r="AK785" s="30"/>
      <c r="AL785" s="30"/>
    </row>
    <row r="786" spans="1:38" s="44" customFormat="1" ht="22.5" x14ac:dyDescent="0.25">
      <c r="A786" s="5" t="s">
        <v>41</v>
      </c>
      <c r="B786" s="5" t="s">
        <v>41</v>
      </c>
      <c r="C786" s="2" t="s">
        <v>276</v>
      </c>
      <c r="D786" s="11">
        <v>1</v>
      </c>
      <c r="E786" s="11">
        <v>11</v>
      </c>
      <c r="F786" s="11">
        <v>903</v>
      </c>
      <c r="G786" s="2" t="s">
        <v>281</v>
      </c>
      <c r="H786" s="21">
        <v>320</v>
      </c>
      <c r="I786" s="20">
        <f t="shared" si="153"/>
        <v>3924045.71</v>
      </c>
      <c r="J786" s="20"/>
      <c r="K786" s="20"/>
      <c r="L786" s="20"/>
      <c r="M786" s="20"/>
      <c r="N786" s="20"/>
      <c r="O786" s="20"/>
      <c r="P786" s="20">
        <f t="shared" si="153"/>
        <v>-36037.800000000003</v>
      </c>
      <c r="Q786" s="20"/>
      <c r="R786" s="20"/>
      <c r="S786" s="20"/>
      <c r="T786" s="20">
        <f t="shared" si="153"/>
        <v>3884017.62</v>
      </c>
      <c r="U786" s="20"/>
      <c r="V786" s="20"/>
      <c r="W786" s="20"/>
      <c r="X786" s="20"/>
      <c r="Y786" s="20">
        <f t="shared" si="153"/>
        <v>3924045.71</v>
      </c>
      <c r="Z786" s="20"/>
      <c r="AA786" s="20"/>
      <c r="AB786" s="20"/>
      <c r="AC786" s="20"/>
      <c r="AD786" s="20">
        <f t="shared" si="153"/>
        <v>3924045.71</v>
      </c>
      <c r="AF786" s="30"/>
      <c r="AG786" s="30"/>
      <c r="AH786" s="30"/>
      <c r="AI786" s="30"/>
      <c r="AJ786" s="30"/>
      <c r="AK786" s="30"/>
      <c r="AL786" s="30"/>
    </row>
    <row r="787" spans="1:38" s="44" customFormat="1" ht="22.5" x14ac:dyDescent="0.25">
      <c r="A787" s="5"/>
      <c r="B787" s="5" t="s">
        <v>42</v>
      </c>
      <c r="C787" s="2" t="s">
        <v>276</v>
      </c>
      <c r="D787" s="11">
        <v>1</v>
      </c>
      <c r="E787" s="11">
        <v>11</v>
      </c>
      <c r="F787" s="11">
        <v>903</v>
      </c>
      <c r="G787" s="2" t="s">
        <v>281</v>
      </c>
      <c r="H787" s="21">
        <v>321</v>
      </c>
      <c r="I787" s="20">
        <v>3924045.71</v>
      </c>
      <c r="J787" s="20"/>
      <c r="K787" s="20"/>
      <c r="L787" s="20"/>
      <c r="M787" s="20"/>
      <c r="N787" s="20"/>
      <c r="O787" s="20"/>
      <c r="P787" s="20">
        <v>-36037.800000000003</v>
      </c>
      <c r="Q787" s="20"/>
      <c r="R787" s="20"/>
      <c r="S787" s="20">
        <v>-3990.29</v>
      </c>
      <c r="T787" s="20">
        <f>3924045.71+P787+S787</f>
        <v>3884017.62</v>
      </c>
      <c r="U787" s="20"/>
      <c r="V787" s="20"/>
      <c r="W787" s="20"/>
      <c r="X787" s="20"/>
      <c r="Y787" s="20">
        <v>3924045.71</v>
      </c>
      <c r="Z787" s="20"/>
      <c r="AA787" s="20"/>
      <c r="AB787" s="20"/>
      <c r="AC787" s="20"/>
      <c r="AD787" s="20">
        <v>3924045.71</v>
      </c>
      <c r="AF787" s="30"/>
      <c r="AG787" s="30"/>
      <c r="AH787" s="30"/>
      <c r="AI787" s="30"/>
      <c r="AJ787" s="30"/>
      <c r="AK787" s="30"/>
      <c r="AL787" s="30"/>
    </row>
    <row r="788" spans="1:38" s="44" customFormat="1" ht="31.5" x14ac:dyDescent="0.25">
      <c r="A788" s="3"/>
      <c r="B788" s="3" t="s">
        <v>282</v>
      </c>
      <c r="C788" s="19" t="s">
        <v>283</v>
      </c>
      <c r="D788" s="13"/>
      <c r="E788" s="13"/>
      <c r="F788" s="13"/>
      <c r="G788" s="19"/>
      <c r="H788" s="14"/>
      <c r="I788" s="15">
        <f t="shared" ref="I788:AD789" si="154">I789</f>
        <v>22816564.289999999</v>
      </c>
      <c r="J788" s="15"/>
      <c r="K788" s="15"/>
      <c r="L788" s="15"/>
      <c r="M788" s="15"/>
      <c r="N788" s="15"/>
      <c r="O788" s="15"/>
      <c r="P788" s="15">
        <f t="shared" si="154"/>
        <v>70000</v>
      </c>
      <c r="Q788" s="15"/>
      <c r="R788" s="15">
        <f t="shared" si="154"/>
        <v>7324.94</v>
      </c>
      <c r="S788" s="15"/>
      <c r="T788" s="15">
        <f t="shared" si="154"/>
        <v>22893889.23</v>
      </c>
      <c r="U788" s="15"/>
      <c r="V788" s="15"/>
      <c r="W788" s="15"/>
      <c r="X788" s="15"/>
      <c r="Y788" s="15">
        <f t="shared" si="154"/>
        <v>22765571.829999998</v>
      </c>
      <c r="Z788" s="15"/>
      <c r="AA788" s="15"/>
      <c r="AB788" s="15"/>
      <c r="AC788" s="15"/>
      <c r="AD788" s="15">
        <f t="shared" si="154"/>
        <v>23755840.579999998</v>
      </c>
      <c r="AF788" s="30"/>
      <c r="AG788" s="30"/>
      <c r="AH788" s="30"/>
      <c r="AI788" s="30"/>
      <c r="AJ788" s="30"/>
      <c r="AK788" s="30"/>
      <c r="AL788" s="30"/>
    </row>
    <row r="789" spans="1:38" s="44" customFormat="1" ht="95.25" customHeight="1" x14ac:dyDescent="0.25">
      <c r="A789" s="3"/>
      <c r="B789" s="3" t="s">
        <v>284</v>
      </c>
      <c r="C789" s="19" t="s">
        <v>283</v>
      </c>
      <c r="D789" s="13">
        <v>0</v>
      </c>
      <c r="E789" s="13">
        <v>11</v>
      </c>
      <c r="F789" s="13"/>
      <c r="G789" s="19"/>
      <c r="H789" s="14"/>
      <c r="I789" s="15">
        <f t="shared" si="154"/>
        <v>22816564.289999999</v>
      </c>
      <c r="J789" s="15"/>
      <c r="K789" s="15"/>
      <c r="L789" s="15"/>
      <c r="M789" s="15"/>
      <c r="N789" s="15"/>
      <c r="O789" s="15"/>
      <c r="P789" s="15">
        <f t="shared" si="154"/>
        <v>70000</v>
      </c>
      <c r="Q789" s="15"/>
      <c r="R789" s="15">
        <f t="shared" si="154"/>
        <v>7324.94</v>
      </c>
      <c r="S789" s="15"/>
      <c r="T789" s="15">
        <f t="shared" si="154"/>
        <v>22893889.23</v>
      </c>
      <c r="U789" s="15"/>
      <c r="V789" s="15"/>
      <c r="W789" s="15"/>
      <c r="X789" s="15"/>
      <c r="Y789" s="15">
        <f t="shared" si="154"/>
        <v>22765571.829999998</v>
      </c>
      <c r="Z789" s="15"/>
      <c r="AA789" s="15"/>
      <c r="AB789" s="15"/>
      <c r="AC789" s="15"/>
      <c r="AD789" s="15">
        <f t="shared" si="154"/>
        <v>23755840.579999998</v>
      </c>
      <c r="AF789" s="30"/>
      <c r="AG789" s="30"/>
      <c r="AH789" s="30"/>
      <c r="AI789" s="30"/>
      <c r="AJ789" s="30"/>
      <c r="AK789" s="30"/>
      <c r="AL789" s="30"/>
    </row>
    <row r="790" spans="1:38" s="44" customFormat="1" ht="27" customHeight="1" x14ac:dyDescent="0.25">
      <c r="A790" s="5"/>
      <c r="B790" s="3" t="s">
        <v>20</v>
      </c>
      <c r="C790" s="19" t="s">
        <v>283</v>
      </c>
      <c r="D790" s="13">
        <v>0</v>
      </c>
      <c r="E790" s="13">
        <v>11</v>
      </c>
      <c r="F790" s="13">
        <v>902</v>
      </c>
      <c r="G790" s="19"/>
      <c r="H790" s="14"/>
      <c r="I790" s="15">
        <f>I795+I799+I791</f>
        <v>22816564.289999999</v>
      </c>
      <c r="J790" s="15"/>
      <c r="K790" s="15"/>
      <c r="L790" s="15"/>
      <c r="M790" s="15"/>
      <c r="N790" s="15"/>
      <c r="O790" s="15"/>
      <c r="P790" s="15">
        <f>P795+P799+P791</f>
        <v>70000</v>
      </c>
      <c r="Q790" s="15"/>
      <c r="R790" s="15">
        <f>R795+R799+R791</f>
        <v>7324.94</v>
      </c>
      <c r="S790" s="15"/>
      <c r="T790" s="15">
        <f>T795+T799+T791</f>
        <v>22893889.23</v>
      </c>
      <c r="U790" s="15"/>
      <c r="V790" s="15"/>
      <c r="W790" s="15"/>
      <c r="X790" s="15"/>
      <c r="Y790" s="15">
        <f>Y795+Y799+Y791</f>
        <v>22765571.829999998</v>
      </c>
      <c r="Z790" s="15"/>
      <c r="AA790" s="15"/>
      <c r="AB790" s="15"/>
      <c r="AC790" s="15"/>
      <c r="AD790" s="15">
        <f>AD795+AD799+AD791</f>
        <v>23755840.579999998</v>
      </c>
      <c r="AF790" s="30"/>
      <c r="AG790" s="30"/>
      <c r="AH790" s="30"/>
      <c r="AI790" s="30"/>
      <c r="AJ790" s="30"/>
      <c r="AK790" s="30"/>
      <c r="AL790" s="30"/>
    </row>
    <row r="791" spans="1:38" s="44" customFormat="1" ht="21" x14ac:dyDescent="0.25">
      <c r="A791" s="3"/>
      <c r="B791" s="3" t="s">
        <v>285</v>
      </c>
      <c r="C791" s="19" t="s">
        <v>283</v>
      </c>
      <c r="D791" s="13">
        <v>0</v>
      </c>
      <c r="E791" s="13" t="s">
        <v>286</v>
      </c>
      <c r="F791" s="13">
        <v>902</v>
      </c>
      <c r="G791" s="19" t="s">
        <v>287</v>
      </c>
      <c r="H791" s="14"/>
      <c r="I791" s="15">
        <f t="shared" ref="I791:AD793" si="155">I792</f>
        <v>22816564.289999999</v>
      </c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>
        <f t="shared" si="155"/>
        <v>22816564.289999999</v>
      </c>
      <c r="U791" s="15"/>
      <c r="V791" s="15"/>
      <c r="W791" s="15"/>
      <c r="X791" s="15"/>
      <c r="Y791" s="15">
        <f t="shared" si="155"/>
        <v>22765571.829999998</v>
      </c>
      <c r="Z791" s="15"/>
      <c r="AA791" s="15"/>
      <c r="AB791" s="15"/>
      <c r="AC791" s="15"/>
      <c r="AD791" s="15">
        <f t="shared" si="155"/>
        <v>23755840.579999998</v>
      </c>
      <c r="AF791" s="30"/>
      <c r="AG791" s="30"/>
      <c r="AH791" s="30"/>
      <c r="AI791" s="30"/>
      <c r="AJ791" s="30"/>
      <c r="AK791" s="30"/>
      <c r="AL791" s="30"/>
    </row>
    <row r="792" spans="1:38" s="44" customFormat="1" ht="22.5" x14ac:dyDescent="0.25">
      <c r="A792" s="3"/>
      <c r="B792" s="5" t="s">
        <v>26</v>
      </c>
      <c r="C792" s="2" t="s">
        <v>283</v>
      </c>
      <c r="D792" s="11">
        <v>0</v>
      </c>
      <c r="E792" s="11" t="s">
        <v>286</v>
      </c>
      <c r="F792" s="11">
        <v>902</v>
      </c>
      <c r="G792" s="2" t="s">
        <v>287</v>
      </c>
      <c r="H792" s="21">
        <v>200</v>
      </c>
      <c r="I792" s="15">
        <f t="shared" si="155"/>
        <v>22816564.289999999</v>
      </c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15">
        <f t="shared" si="155"/>
        <v>22816564.289999999</v>
      </c>
      <c r="U792" s="15"/>
      <c r="V792" s="15"/>
      <c r="W792" s="15"/>
      <c r="X792" s="15"/>
      <c r="Y792" s="15">
        <f t="shared" si="155"/>
        <v>22765571.829999998</v>
      </c>
      <c r="Z792" s="15"/>
      <c r="AA792" s="15"/>
      <c r="AB792" s="15"/>
      <c r="AC792" s="15"/>
      <c r="AD792" s="15">
        <f t="shared" si="155"/>
        <v>23755840.579999998</v>
      </c>
      <c r="AF792" s="30"/>
      <c r="AG792" s="30"/>
      <c r="AH792" s="30"/>
      <c r="AI792" s="30"/>
      <c r="AJ792" s="30"/>
      <c r="AK792" s="30"/>
      <c r="AL792" s="30"/>
    </row>
    <row r="793" spans="1:38" s="44" customFormat="1" ht="22.5" x14ac:dyDescent="0.25">
      <c r="A793" s="5"/>
      <c r="B793" s="5" t="s">
        <v>28</v>
      </c>
      <c r="C793" s="2" t="s">
        <v>283</v>
      </c>
      <c r="D793" s="11">
        <v>0</v>
      </c>
      <c r="E793" s="11" t="s">
        <v>286</v>
      </c>
      <c r="F793" s="11">
        <v>902</v>
      </c>
      <c r="G793" s="2" t="s">
        <v>287</v>
      </c>
      <c r="H793" s="21">
        <v>240</v>
      </c>
      <c r="I793" s="20">
        <f t="shared" si="155"/>
        <v>22816564.289999999</v>
      </c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>
        <f t="shared" si="155"/>
        <v>22816564.289999999</v>
      </c>
      <c r="U793" s="20"/>
      <c r="V793" s="20"/>
      <c r="W793" s="20"/>
      <c r="X793" s="20"/>
      <c r="Y793" s="20">
        <f t="shared" si="155"/>
        <v>22765571.829999998</v>
      </c>
      <c r="Z793" s="20"/>
      <c r="AA793" s="20"/>
      <c r="AB793" s="20"/>
      <c r="AC793" s="20"/>
      <c r="AD793" s="20">
        <f t="shared" si="155"/>
        <v>23755840.579999998</v>
      </c>
      <c r="AF793" s="30"/>
      <c r="AG793" s="30"/>
      <c r="AH793" s="30"/>
      <c r="AI793" s="30"/>
      <c r="AJ793" s="30"/>
      <c r="AK793" s="30"/>
      <c r="AL793" s="30"/>
    </row>
    <row r="794" spans="1:38" s="44" customFormat="1" ht="22.5" x14ac:dyDescent="0.25">
      <c r="A794" s="5"/>
      <c r="B794" s="5" t="s">
        <v>30</v>
      </c>
      <c r="C794" s="2" t="s">
        <v>283</v>
      </c>
      <c r="D794" s="11">
        <v>0</v>
      </c>
      <c r="E794" s="11" t="s">
        <v>286</v>
      </c>
      <c r="F794" s="11">
        <v>902</v>
      </c>
      <c r="G794" s="2" t="s">
        <v>287</v>
      </c>
      <c r="H794" s="21">
        <v>244</v>
      </c>
      <c r="I794" s="20">
        <v>22816564.289999999</v>
      </c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>
        <v>22816564.289999999</v>
      </c>
      <c r="U794" s="20"/>
      <c r="V794" s="20"/>
      <c r="W794" s="20"/>
      <c r="X794" s="20"/>
      <c r="Y794" s="20">
        <v>22765571.829999998</v>
      </c>
      <c r="Z794" s="20"/>
      <c r="AA794" s="20"/>
      <c r="AB794" s="20"/>
      <c r="AC794" s="20"/>
      <c r="AD794" s="20">
        <v>23755840.579999998</v>
      </c>
      <c r="AF794" s="30"/>
      <c r="AG794" s="30"/>
      <c r="AH794" s="30"/>
      <c r="AI794" s="30"/>
      <c r="AJ794" s="30"/>
      <c r="AK794" s="30"/>
      <c r="AL794" s="30"/>
    </row>
    <row r="795" spans="1:38" s="44" customFormat="1" x14ac:dyDescent="0.25">
      <c r="A795" s="3"/>
      <c r="B795" s="3" t="s">
        <v>288</v>
      </c>
      <c r="C795" s="2" t="s">
        <v>283</v>
      </c>
      <c r="D795" s="11">
        <v>0</v>
      </c>
      <c r="E795" s="11">
        <v>11</v>
      </c>
      <c r="F795" s="11">
        <v>902</v>
      </c>
      <c r="G795" s="2" t="s">
        <v>289</v>
      </c>
      <c r="H795" s="14"/>
      <c r="I795" s="15">
        <f t="shared" ref="I795:AD797" si="156">I796</f>
        <v>0</v>
      </c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>
        <f t="shared" si="156"/>
        <v>0</v>
      </c>
      <c r="U795" s="15"/>
      <c r="V795" s="15"/>
      <c r="W795" s="15"/>
      <c r="X795" s="15"/>
      <c r="Y795" s="15">
        <f t="shared" si="156"/>
        <v>0</v>
      </c>
      <c r="Z795" s="15"/>
      <c r="AA795" s="15"/>
      <c r="AB795" s="15"/>
      <c r="AC795" s="15"/>
      <c r="AD795" s="15">
        <f t="shared" si="156"/>
        <v>0</v>
      </c>
      <c r="AF795" s="30"/>
      <c r="AG795" s="30"/>
      <c r="AH795" s="30"/>
      <c r="AI795" s="30"/>
      <c r="AJ795" s="30"/>
      <c r="AK795" s="30"/>
      <c r="AL795" s="30"/>
    </row>
    <row r="796" spans="1:38" s="44" customFormat="1" ht="22.5" x14ac:dyDescent="0.25">
      <c r="A796" s="5"/>
      <c r="B796" s="5" t="s">
        <v>26</v>
      </c>
      <c r="C796" s="2" t="s">
        <v>283</v>
      </c>
      <c r="D796" s="11">
        <v>0</v>
      </c>
      <c r="E796" s="11">
        <v>11</v>
      </c>
      <c r="F796" s="11">
        <v>902</v>
      </c>
      <c r="G796" s="2" t="s">
        <v>289</v>
      </c>
      <c r="H796" s="21">
        <v>200</v>
      </c>
      <c r="I796" s="20">
        <f t="shared" si="156"/>
        <v>0</v>
      </c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>
        <f t="shared" si="156"/>
        <v>0</v>
      </c>
      <c r="U796" s="20"/>
      <c r="V796" s="20"/>
      <c r="W796" s="20"/>
      <c r="X796" s="20"/>
      <c r="Y796" s="20">
        <f t="shared" si="156"/>
        <v>0</v>
      </c>
      <c r="Z796" s="20"/>
      <c r="AA796" s="20"/>
      <c r="AB796" s="20"/>
      <c r="AC796" s="20"/>
      <c r="AD796" s="20">
        <f t="shared" si="156"/>
        <v>0</v>
      </c>
      <c r="AF796" s="30"/>
      <c r="AG796" s="30"/>
      <c r="AH796" s="30"/>
      <c r="AI796" s="30"/>
      <c r="AJ796" s="30"/>
      <c r="AK796" s="30"/>
      <c r="AL796" s="30"/>
    </row>
    <row r="797" spans="1:38" s="44" customFormat="1" ht="22.5" x14ac:dyDescent="0.25">
      <c r="A797" s="5"/>
      <c r="B797" s="5" t="s">
        <v>28</v>
      </c>
      <c r="C797" s="2" t="s">
        <v>283</v>
      </c>
      <c r="D797" s="11">
        <v>0</v>
      </c>
      <c r="E797" s="11">
        <v>11</v>
      </c>
      <c r="F797" s="11">
        <v>902</v>
      </c>
      <c r="G797" s="2" t="s">
        <v>289</v>
      </c>
      <c r="H797" s="21">
        <v>240</v>
      </c>
      <c r="I797" s="20">
        <f t="shared" si="156"/>
        <v>0</v>
      </c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>
        <f t="shared" si="156"/>
        <v>0</v>
      </c>
      <c r="U797" s="20"/>
      <c r="V797" s="20"/>
      <c r="W797" s="20"/>
      <c r="X797" s="20"/>
      <c r="Y797" s="20">
        <f t="shared" si="156"/>
        <v>0</v>
      </c>
      <c r="Z797" s="20"/>
      <c r="AA797" s="20"/>
      <c r="AB797" s="20"/>
      <c r="AC797" s="20"/>
      <c r="AD797" s="20">
        <f t="shared" si="156"/>
        <v>0</v>
      </c>
      <c r="AF797" s="30"/>
      <c r="AG797" s="30"/>
      <c r="AH797" s="30"/>
      <c r="AI797" s="30"/>
      <c r="AJ797" s="30"/>
      <c r="AK797" s="30"/>
      <c r="AL797" s="30"/>
    </row>
    <row r="798" spans="1:38" s="44" customFormat="1" ht="22.5" x14ac:dyDescent="0.25">
      <c r="A798" s="5"/>
      <c r="B798" s="5" t="s">
        <v>30</v>
      </c>
      <c r="C798" s="2" t="s">
        <v>283</v>
      </c>
      <c r="D798" s="11">
        <v>0</v>
      </c>
      <c r="E798" s="11">
        <v>11</v>
      </c>
      <c r="F798" s="11">
        <v>902</v>
      </c>
      <c r="G798" s="2" t="s">
        <v>289</v>
      </c>
      <c r="H798" s="21">
        <v>244</v>
      </c>
      <c r="I798" s="20">
        <v>0</v>
      </c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>
        <v>0</v>
      </c>
      <c r="U798" s="20"/>
      <c r="V798" s="20"/>
      <c r="W798" s="20"/>
      <c r="X798" s="20"/>
      <c r="Y798" s="20">
        <v>0</v>
      </c>
      <c r="Z798" s="20"/>
      <c r="AA798" s="20"/>
      <c r="AB798" s="20"/>
      <c r="AC798" s="20"/>
      <c r="AD798" s="20">
        <v>0</v>
      </c>
      <c r="AF798" s="30"/>
      <c r="AG798" s="30"/>
      <c r="AH798" s="30"/>
      <c r="AI798" s="30"/>
      <c r="AJ798" s="30"/>
      <c r="AK798" s="30"/>
      <c r="AL798" s="30"/>
    </row>
    <row r="799" spans="1:38" s="44" customFormat="1" ht="21" x14ac:dyDescent="0.25">
      <c r="A799" s="5"/>
      <c r="B799" s="3" t="s">
        <v>269</v>
      </c>
      <c r="C799" s="19" t="s">
        <v>283</v>
      </c>
      <c r="D799" s="13">
        <v>0</v>
      </c>
      <c r="E799" s="13">
        <v>11</v>
      </c>
      <c r="F799" s="13">
        <v>902</v>
      </c>
      <c r="G799" s="19" t="s">
        <v>290</v>
      </c>
      <c r="H799" s="14"/>
      <c r="I799" s="15">
        <f>I800</f>
        <v>0</v>
      </c>
      <c r="J799" s="15"/>
      <c r="K799" s="15"/>
      <c r="L799" s="15"/>
      <c r="M799" s="15"/>
      <c r="N799" s="15"/>
      <c r="O799" s="15"/>
      <c r="P799" s="15">
        <f t="shared" ref="P799:T801" si="157">P800</f>
        <v>70000</v>
      </c>
      <c r="Q799" s="15"/>
      <c r="R799" s="15">
        <f t="shared" si="157"/>
        <v>7324.94</v>
      </c>
      <c r="S799" s="15"/>
      <c r="T799" s="15">
        <f t="shared" si="157"/>
        <v>77324.94</v>
      </c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F799" s="30"/>
      <c r="AG799" s="30"/>
      <c r="AH799" s="30"/>
      <c r="AI799" s="30"/>
      <c r="AJ799" s="30"/>
      <c r="AK799" s="30"/>
      <c r="AL799" s="30"/>
    </row>
    <row r="800" spans="1:38" s="44" customFormat="1" ht="22.5" x14ac:dyDescent="0.25">
      <c r="A800" s="5"/>
      <c r="B800" s="5" t="s">
        <v>26</v>
      </c>
      <c r="C800" s="2" t="s">
        <v>283</v>
      </c>
      <c r="D800" s="11">
        <v>0</v>
      </c>
      <c r="E800" s="11">
        <v>11</v>
      </c>
      <c r="F800" s="11">
        <v>902</v>
      </c>
      <c r="G800" s="2" t="s">
        <v>290</v>
      </c>
      <c r="H800" s="21">
        <v>200</v>
      </c>
      <c r="I800" s="20">
        <f>I801</f>
        <v>0</v>
      </c>
      <c r="J800" s="20"/>
      <c r="K800" s="20"/>
      <c r="L800" s="20"/>
      <c r="M800" s="20"/>
      <c r="N800" s="20"/>
      <c r="O800" s="20"/>
      <c r="P800" s="20">
        <f t="shared" si="157"/>
        <v>70000</v>
      </c>
      <c r="Q800" s="20"/>
      <c r="R800" s="20">
        <f t="shared" si="157"/>
        <v>7324.94</v>
      </c>
      <c r="S800" s="20"/>
      <c r="T800" s="20">
        <f t="shared" si="157"/>
        <v>77324.94</v>
      </c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F800" s="30"/>
      <c r="AG800" s="30"/>
      <c r="AH800" s="30"/>
      <c r="AI800" s="30"/>
      <c r="AJ800" s="30"/>
      <c r="AK800" s="30"/>
      <c r="AL800" s="30"/>
    </row>
    <row r="801" spans="1:38" s="44" customFormat="1" ht="22.5" x14ac:dyDescent="0.25">
      <c r="A801" s="5"/>
      <c r="B801" s="5" t="s">
        <v>28</v>
      </c>
      <c r="C801" s="2" t="s">
        <v>283</v>
      </c>
      <c r="D801" s="11">
        <v>0</v>
      </c>
      <c r="E801" s="11">
        <v>11</v>
      </c>
      <c r="F801" s="11">
        <v>902</v>
      </c>
      <c r="G801" s="2" t="s">
        <v>290</v>
      </c>
      <c r="H801" s="21">
        <v>240</v>
      </c>
      <c r="I801" s="20">
        <f>I802</f>
        <v>0</v>
      </c>
      <c r="J801" s="20"/>
      <c r="K801" s="20"/>
      <c r="L801" s="20"/>
      <c r="M801" s="20"/>
      <c r="N801" s="20"/>
      <c r="O801" s="20"/>
      <c r="P801" s="20">
        <f t="shared" si="157"/>
        <v>70000</v>
      </c>
      <c r="Q801" s="20"/>
      <c r="R801" s="20">
        <f t="shared" si="157"/>
        <v>7324.94</v>
      </c>
      <c r="S801" s="20"/>
      <c r="T801" s="20">
        <f t="shared" si="157"/>
        <v>77324.94</v>
      </c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F801" s="30"/>
      <c r="AG801" s="30"/>
      <c r="AH801" s="30"/>
      <c r="AI801" s="30"/>
      <c r="AJ801" s="30"/>
      <c r="AK801" s="30"/>
      <c r="AL801" s="30"/>
    </row>
    <row r="802" spans="1:38" s="44" customFormat="1" ht="22.5" x14ac:dyDescent="0.25">
      <c r="A802" s="5"/>
      <c r="B802" s="5" t="s">
        <v>30</v>
      </c>
      <c r="C802" s="2" t="s">
        <v>283</v>
      </c>
      <c r="D802" s="11">
        <v>0</v>
      </c>
      <c r="E802" s="11">
        <v>11</v>
      </c>
      <c r="F802" s="11">
        <v>902</v>
      </c>
      <c r="G802" s="2" t="s">
        <v>290</v>
      </c>
      <c r="H802" s="21">
        <v>244</v>
      </c>
      <c r="I802" s="20">
        <v>0</v>
      </c>
      <c r="J802" s="20"/>
      <c r="K802" s="20"/>
      <c r="L802" s="20"/>
      <c r="M802" s="20"/>
      <c r="N802" s="20"/>
      <c r="O802" s="20"/>
      <c r="P802" s="20">
        <v>70000</v>
      </c>
      <c r="Q802" s="20"/>
      <c r="R802" s="20">
        <v>7324.94</v>
      </c>
      <c r="S802" s="20"/>
      <c r="T802" s="20">
        <f>P802+R802</f>
        <v>77324.94</v>
      </c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F802" s="30"/>
      <c r="AG802" s="30"/>
      <c r="AH802" s="30"/>
      <c r="AI802" s="30"/>
      <c r="AJ802" s="30"/>
      <c r="AK802" s="30"/>
      <c r="AL802" s="30"/>
    </row>
    <row r="803" spans="1:38" s="44" customFormat="1" ht="42" x14ac:dyDescent="0.25">
      <c r="A803" s="3"/>
      <c r="B803" s="3" t="s">
        <v>291</v>
      </c>
      <c r="C803" s="19" t="s">
        <v>292</v>
      </c>
      <c r="D803" s="13"/>
      <c r="E803" s="13"/>
      <c r="F803" s="13"/>
      <c r="G803" s="19"/>
      <c r="H803" s="14"/>
      <c r="I803" s="15">
        <f t="shared" ref="I803:AD804" si="158">I804</f>
        <v>8451494.8000000007</v>
      </c>
      <c r="J803" s="15"/>
      <c r="K803" s="15">
        <f t="shared" si="158"/>
        <v>3038266.46</v>
      </c>
      <c r="L803" s="15">
        <f t="shared" si="158"/>
        <v>20506.149999999936</v>
      </c>
      <c r="M803" s="15"/>
      <c r="N803" s="15"/>
      <c r="O803" s="15">
        <f t="shared" si="158"/>
        <v>2.3646862246096134E-11</v>
      </c>
      <c r="P803" s="15">
        <f t="shared" si="158"/>
        <v>0</v>
      </c>
      <c r="Q803" s="15"/>
      <c r="R803" s="15"/>
      <c r="S803" s="15"/>
      <c r="T803" s="15">
        <f t="shared" si="158"/>
        <v>11510267.410000002</v>
      </c>
      <c r="U803" s="15"/>
      <c r="V803" s="15"/>
      <c r="W803" s="15"/>
      <c r="X803" s="15"/>
      <c r="Y803" s="15">
        <f t="shared" si="158"/>
        <v>0</v>
      </c>
      <c r="Z803" s="15"/>
      <c r="AA803" s="15"/>
      <c r="AB803" s="15"/>
      <c r="AC803" s="15"/>
      <c r="AD803" s="15">
        <f t="shared" si="158"/>
        <v>94563203.109999999</v>
      </c>
      <c r="AF803" s="30"/>
      <c r="AG803" s="30"/>
      <c r="AH803" s="30"/>
      <c r="AI803" s="30"/>
      <c r="AJ803" s="30"/>
      <c r="AK803" s="30"/>
      <c r="AL803" s="30"/>
    </row>
    <row r="804" spans="1:38" s="44" customFormat="1" ht="73.5" x14ac:dyDescent="0.25">
      <c r="A804" s="3"/>
      <c r="B804" s="3" t="s">
        <v>293</v>
      </c>
      <c r="C804" s="19" t="s">
        <v>292</v>
      </c>
      <c r="D804" s="13">
        <v>0</v>
      </c>
      <c r="E804" s="13">
        <v>11</v>
      </c>
      <c r="F804" s="13"/>
      <c r="G804" s="19"/>
      <c r="H804" s="14"/>
      <c r="I804" s="15">
        <f t="shared" si="158"/>
        <v>8451494.8000000007</v>
      </c>
      <c r="J804" s="15"/>
      <c r="K804" s="15">
        <f t="shared" si="158"/>
        <v>3038266.46</v>
      </c>
      <c r="L804" s="15">
        <f t="shared" si="158"/>
        <v>20506.149999999936</v>
      </c>
      <c r="M804" s="15"/>
      <c r="N804" s="15"/>
      <c r="O804" s="15">
        <f t="shared" si="158"/>
        <v>2.3646862246096134E-11</v>
      </c>
      <c r="P804" s="15"/>
      <c r="Q804" s="15"/>
      <c r="R804" s="15"/>
      <c r="S804" s="15"/>
      <c r="T804" s="15">
        <f t="shared" si="158"/>
        <v>11510267.410000002</v>
      </c>
      <c r="U804" s="15"/>
      <c r="V804" s="15"/>
      <c r="W804" s="15"/>
      <c r="X804" s="15"/>
      <c r="Y804" s="15">
        <f t="shared" si="158"/>
        <v>0</v>
      </c>
      <c r="Z804" s="15"/>
      <c r="AA804" s="15"/>
      <c r="AB804" s="15"/>
      <c r="AC804" s="15"/>
      <c r="AD804" s="15">
        <f t="shared" si="158"/>
        <v>94563203.109999999</v>
      </c>
      <c r="AF804" s="30"/>
      <c r="AG804" s="30"/>
      <c r="AH804" s="30"/>
      <c r="AI804" s="30"/>
      <c r="AJ804" s="30"/>
      <c r="AK804" s="30"/>
      <c r="AL804" s="30"/>
    </row>
    <row r="805" spans="1:38" s="44" customFormat="1" x14ac:dyDescent="0.25">
      <c r="A805" s="5"/>
      <c r="B805" s="3" t="s">
        <v>178</v>
      </c>
      <c r="C805" s="19" t="s">
        <v>292</v>
      </c>
      <c r="D805" s="13">
        <v>0</v>
      </c>
      <c r="E805" s="13">
        <v>11</v>
      </c>
      <c r="F805" s="13">
        <v>903</v>
      </c>
      <c r="G805" s="2"/>
      <c r="H805" s="21"/>
      <c r="I805" s="20">
        <f>I810+I814</f>
        <v>8451494.8000000007</v>
      </c>
      <c r="J805" s="20"/>
      <c r="K805" s="20">
        <f>K810+K814</f>
        <v>3038266.46</v>
      </c>
      <c r="L805" s="15">
        <f>L810+L814+L818+L825+L832</f>
        <v>20506.149999999936</v>
      </c>
      <c r="M805" s="15"/>
      <c r="N805" s="15"/>
      <c r="O805" s="15">
        <f>O810+O814+O818+O825+O832</f>
        <v>2.3646862246096134E-11</v>
      </c>
      <c r="P805" s="15"/>
      <c r="Q805" s="15"/>
      <c r="R805" s="15"/>
      <c r="S805" s="15"/>
      <c r="T805" s="15">
        <f>T810+T814+T818+T825+T832</f>
        <v>11510267.410000002</v>
      </c>
      <c r="U805" s="15">
        <f t="shared" ref="U805:AA805" si="159">U810+U814+U818+U825+U832</f>
        <v>0</v>
      </c>
      <c r="V805" s="15">
        <f t="shared" si="159"/>
        <v>0</v>
      </c>
      <c r="W805" s="15"/>
      <c r="X805" s="15"/>
      <c r="Y805" s="15">
        <f>Y810+Y814+Y818+Y825+Y832</f>
        <v>0</v>
      </c>
      <c r="Z805" s="15">
        <f t="shared" si="159"/>
        <v>0</v>
      </c>
      <c r="AA805" s="15">
        <f t="shared" si="159"/>
        <v>0</v>
      </c>
      <c r="AB805" s="15"/>
      <c r="AC805" s="15"/>
      <c r="AD805" s="15">
        <f>AD810+AD814+AD818+AD825+AD832</f>
        <v>94563203.109999999</v>
      </c>
      <c r="AF805" s="30"/>
      <c r="AG805" s="30"/>
      <c r="AH805" s="30"/>
      <c r="AI805" s="30"/>
      <c r="AJ805" s="30"/>
      <c r="AK805" s="30"/>
      <c r="AL805" s="30"/>
    </row>
    <row r="806" spans="1:38" s="44" customFormat="1" ht="31.5" hidden="1" x14ac:dyDescent="0.25">
      <c r="A806" s="5"/>
      <c r="B806" s="3" t="s">
        <v>294</v>
      </c>
      <c r="C806" s="19" t="s">
        <v>292</v>
      </c>
      <c r="D806" s="13">
        <v>0</v>
      </c>
      <c r="E806" s="13">
        <v>11</v>
      </c>
      <c r="F806" s="13">
        <v>903</v>
      </c>
      <c r="G806" s="19" t="s">
        <v>295</v>
      </c>
      <c r="H806" s="14"/>
      <c r="I806" s="20">
        <f>I807</f>
        <v>0</v>
      </c>
      <c r="J806" s="15"/>
      <c r="K806" s="20">
        <f t="shared" ref="K806:T808" si="160">K807</f>
        <v>0</v>
      </c>
      <c r="L806" s="20">
        <f t="shared" si="160"/>
        <v>0</v>
      </c>
      <c r="M806" s="20"/>
      <c r="N806" s="20"/>
      <c r="O806" s="20"/>
      <c r="P806" s="20"/>
      <c r="Q806" s="20"/>
      <c r="R806" s="20"/>
      <c r="S806" s="20"/>
      <c r="T806" s="20">
        <f t="shared" si="160"/>
        <v>0</v>
      </c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F806" s="30"/>
      <c r="AG806" s="30"/>
      <c r="AH806" s="30"/>
      <c r="AI806" s="30"/>
      <c r="AJ806" s="30"/>
      <c r="AK806" s="30"/>
      <c r="AL806" s="30"/>
    </row>
    <row r="807" spans="1:38" s="44" customFormat="1" ht="33.75" hidden="1" x14ac:dyDescent="0.25">
      <c r="A807" s="5"/>
      <c r="B807" s="5" t="s">
        <v>70</v>
      </c>
      <c r="C807" s="2" t="s">
        <v>292</v>
      </c>
      <c r="D807" s="11">
        <v>0</v>
      </c>
      <c r="E807" s="11">
        <v>11</v>
      </c>
      <c r="F807" s="11">
        <v>903</v>
      </c>
      <c r="G807" s="2" t="s">
        <v>295</v>
      </c>
      <c r="H807" s="21">
        <v>400</v>
      </c>
      <c r="I807" s="20">
        <f>I808</f>
        <v>0</v>
      </c>
      <c r="J807" s="20"/>
      <c r="K807" s="20">
        <f t="shared" si="160"/>
        <v>0</v>
      </c>
      <c r="L807" s="20">
        <f t="shared" si="160"/>
        <v>0</v>
      </c>
      <c r="M807" s="20"/>
      <c r="N807" s="20"/>
      <c r="O807" s="20"/>
      <c r="P807" s="20"/>
      <c r="Q807" s="20"/>
      <c r="R807" s="20"/>
      <c r="S807" s="20"/>
      <c r="T807" s="20">
        <f t="shared" si="160"/>
        <v>0</v>
      </c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F807" s="30"/>
      <c r="AG807" s="30"/>
      <c r="AH807" s="30"/>
      <c r="AI807" s="30"/>
      <c r="AJ807" s="30"/>
      <c r="AK807" s="30"/>
      <c r="AL807" s="30"/>
    </row>
    <row r="808" spans="1:38" s="44" customFormat="1" hidden="1" x14ac:dyDescent="0.25">
      <c r="A808" s="5"/>
      <c r="B808" s="5" t="s">
        <v>71</v>
      </c>
      <c r="C808" s="2" t="s">
        <v>292</v>
      </c>
      <c r="D808" s="11">
        <v>0</v>
      </c>
      <c r="E808" s="11">
        <v>11</v>
      </c>
      <c r="F808" s="11">
        <v>903</v>
      </c>
      <c r="G808" s="2" t="s">
        <v>295</v>
      </c>
      <c r="H808" s="21">
        <v>410</v>
      </c>
      <c r="I808" s="20">
        <f>I809</f>
        <v>0</v>
      </c>
      <c r="J808" s="20"/>
      <c r="K808" s="20">
        <f t="shared" si="160"/>
        <v>0</v>
      </c>
      <c r="L808" s="20">
        <f t="shared" si="160"/>
        <v>0</v>
      </c>
      <c r="M808" s="20"/>
      <c r="N808" s="20"/>
      <c r="O808" s="20"/>
      <c r="P808" s="20"/>
      <c r="Q808" s="20"/>
      <c r="R808" s="20"/>
      <c r="S808" s="20"/>
      <c r="T808" s="20">
        <f t="shared" si="160"/>
        <v>0</v>
      </c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F808" s="30"/>
      <c r="AG808" s="30"/>
      <c r="AH808" s="30"/>
      <c r="AI808" s="30"/>
      <c r="AJ808" s="30"/>
      <c r="AK808" s="30"/>
      <c r="AL808" s="30"/>
    </row>
    <row r="809" spans="1:38" s="44" customFormat="1" ht="56.25" hidden="1" x14ac:dyDescent="0.25">
      <c r="A809" s="5"/>
      <c r="B809" s="5" t="s">
        <v>72</v>
      </c>
      <c r="C809" s="2" t="s">
        <v>292</v>
      </c>
      <c r="D809" s="11">
        <v>0</v>
      </c>
      <c r="E809" s="11">
        <v>11</v>
      </c>
      <c r="F809" s="11">
        <v>903</v>
      </c>
      <c r="G809" s="2" t="s">
        <v>295</v>
      </c>
      <c r="H809" s="21">
        <v>412</v>
      </c>
      <c r="I809" s="20">
        <v>0</v>
      </c>
      <c r="J809" s="20"/>
      <c r="K809" s="20">
        <v>0</v>
      </c>
      <c r="L809" s="20">
        <v>0</v>
      </c>
      <c r="M809" s="20"/>
      <c r="N809" s="20"/>
      <c r="O809" s="20"/>
      <c r="P809" s="20"/>
      <c r="Q809" s="20"/>
      <c r="R809" s="20"/>
      <c r="S809" s="20"/>
      <c r="T809" s="20">
        <v>0</v>
      </c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F809" s="30"/>
      <c r="AG809" s="30"/>
      <c r="AH809" s="30"/>
      <c r="AI809" s="30"/>
      <c r="AJ809" s="30"/>
      <c r="AK809" s="30"/>
      <c r="AL809" s="30"/>
    </row>
    <row r="810" spans="1:38" s="44" customFormat="1" ht="52.5" x14ac:dyDescent="0.25">
      <c r="A810" s="3"/>
      <c r="B810" s="3" t="s">
        <v>296</v>
      </c>
      <c r="C810" s="19" t="s">
        <v>292</v>
      </c>
      <c r="D810" s="13">
        <v>0</v>
      </c>
      <c r="E810" s="13" t="s">
        <v>297</v>
      </c>
      <c r="F810" s="13">
        <v>903</v>
      </c>
      <c r="G810" s="19" t="s">
        <v>298</v>
      </c>
      <c r="H810" s="14"/>
      <c r="I810" s="15">
        <f t="shared" ref="I810:AD812" si="161">I811</f>
        <v>8283310.0499999998</v>
      </c>
      <c r="J810" s="15"/>
      <c r="K810" s="15">
        <f t="shared" si="161"/>
        <v>2997903.03</v>
      </c>
      <c r="L810" s="15">
        <f t="shared" si="161"/>
        <v>-10293117.630000001</v>
      </c>
      <c r="M810" s="15"/>
      <c r="N810" s="15"/>
      <c r="O810" s="15">
        <f t="shared" si="161"/>
        <v>-988095.45</v>
      </c>
      <c r="P810" s="15"/>
      <c r="Q810" s="15"/>
      <c r="R810" s="15"/>
      <c r="S810" s="15"/>
      <c r="T810" s="15">
        <f t="shared" si="161"/>
        <v>0</v>
      </c>
      <c r="U810" s="15"/>
      <c r="V810" s="15"/>
      <c r="W810" s="15"/>
      <c r="X810" s="15"/>
      <c r="Y810" s="15">
        <f t="shared" si="161"/>
        <v>0</v>
      </c>
      <c r="Z810" s="15"/>
      <c r="AA810" s="15"/>
      <c r="AB810" s="15"/>
      <c r="AC810" s="15"/>
      <c r="AD810" s="15">
        <f t="shared" si="161"/>
        <v>0</v>
      </c>
      <c r="AF810" s="30"/>
      <c r="AG810" s="30"/>
      <c r="AH810" s="30"/>
      <c r="AI810" s="30"/>
      <c r="AJ810" s="30"/>
      <c r="AK810" s="30"/>
      <c r="AL810" s="30"/>
    </row>
    <row r="811" spans="1:38" s="44" customFormat="1" ht="22.5" x14ac:dyDescent="0.25">
      <c r="A811" s="5"/>
      <c r="B811" s="5" t="s">
        <v>70</v>
      </c>
      <c r="C811" s="2" t="s">
        <v>292</v>
      </c>
      <c r="D811" s="11">
        <v>0</v>
      </c>
      <c r="E811" s="11" t="s">
        <v>297</v>
      </c>
      <c r="F811" s="11">
        <v>903</v>
      </c>
      <c r="G811" s="2" t="s">
        <v>298</v>
      </c>
      <c r="H811" s="21">
        <v>400</v>
      </c>
      <c r="I811" s="20">
        <f t="shared" si="161"/>
        <v>8283310.0499999998</v>
      </c>
      <c r="J811" s="20"/>
      <c r="K811" s="20">
        <f t="shared" si="161"/>
        <v>2997903.03</v>
      </c>
      <c r="L811" s="20">
        <f t="shared" si="161"/>
        <v>-10293117.630000001</v>
      </c>
      <c r="M811" s="20"/>
      <c r="N811" s="20"/>
      <c r="O811" s="20">
        <f t="shared" si="161"/>
        <v>-988095.45</v>
      </c>
      <c r="P811" s="20"/>
      <c r="Q811" s="20"/>
      <c r="R811" s="20"/>
      <c r="S811" s="20"/>
      <c r="T811" s="20">
        <f t="shared" si="161"/>
        <v>0</v>
      </c>
      <c r="U811" s="20"/>
      <c r="V811" s="20"/>
      <c r="W811" s="20"/>
      <c r="X811" s="20"/>
      <c r="Y811" s="20">
        <f t="shared" si="161"/>
        <v>0</v>
      </c>
      <c r="Z811" s="20"/>
      <c r="AA811" s="20"/>
      <c r="AB811" s="20"/>
      <c r="AC811" s="20"/>
      <c r="AD811" s="20">
        <f t="shared" si="161"/>
        <v>0</v>
      </c>
      <c r="AF811" s="30"/>
      <c r="AG811" s="30"/>
      <c r="AH811" s="30"/>
      <c r="AI811" s="30"/>
      <c r="AJ811" s="30"/>
      <c r="AK811" s="30"/>
      <c r="AL811" s="30"/>
    </row>
    <row r="812" spans="1:38" s="44" customFormat="1" x14ac:dyDescent="0.25">
      <c r="A812" s="5"/>
      <c r="B812" s="5" t="s">
        <v>71</v>
      </c>
      <c r="C812" s="2" t="s">
        <v>292</v>
      </c>
      <c r="D812" s="11">
        <v>0</v>
      </c>
      <c r="E812" s="11" t="s">
        <v>297</v>
      </c>
      <c r="F812" s="11">
        <v>903</v>
      </c>
      <c r="G812" s="2" t="s">
        <v>298</v>
      </c>
      <c r="H812" s="21">
        <v>410</v>
      </c>
      <c r="I812" s="20">
        <f t="shared" si="161"/>
        <v>8283310.0499999998</v>
      </c>
      <c r="J812" s="20"/>
      <c r="K812" s="20">
        <f t="shared" si="161"/>
        <v>2997903.03</v>
      </c>
      <c r="L812" s="20">
        <f t="shared" si="161"/>
        <v>-10293117.630000001</v>
      </c>
      <c r="M812" s="20"/>
      <c r="N812" s="20"/>
      <c r="O812" s="20">
        <f t="shared" si="161"/>
        <v>-988095.45</v>
      </c>
      <c r="P812" s="20"/>
      <c r="Q812" s="20"/>
      <c r="R812" s="20"/>
      <c r="S812" s="20"/>
      <c r="T812" s="20">
        <f t="shared" si="161"/>
        <v>0</v>
      </c>
      <c r="U812" s="20"/>
      <c r="V812" s="20"/>
      <c r="W812" s="20"/>
      <c r="X812" s="20"/>
      <c r="Y812" s="20">
        <f t="shared" si="161"/>
        <v>0</v>
      </c>
      <c r="Z812" s="20"/>
      <c r="AA812" s="20"/>
      <c r="AB812" s="20"/>
      <c r="AC812" s="20"/>
      <c r="AD812" s="20">
        <f t="shared" si="161"/>
        <v>0</v>
      </c>
      <c r="AF812" s="30"/>
      <c r="AG812" s="30"/>
      <c r="AH812" s="30"/>
      <c r="AI812" s="30"/>
      <c r="AJ812" s="30"/>
      <c r="AK812" s="30"/>
      <c r="AL812" s="30"/>
    </row>
    <row r="813" spans="1:38" s="44" customFormat="1" ht="33.75" x14ac:dyDescent="0.25">
      <c r="A813" s="5"/>
      <c r="B813" s="5" t="s">
        <v>72</v>
      </c>
      <c r="C813" s="2" t="s">
        <v>292</v>
      </c>
      <c r="D813" s="11">
        <v>0</v>
      </c>
      <c r="E813" s="11" t="s">
        <v>297</v>
      </c>
      <c r="F813" s="11">
        <v>903</v>
      </c>
      <c r="G813" s="2" t="s">
        <v>298</v>
      </c>
      <c r="H813" s="21">
        <v>412</v>
      </c>
      <c r="I813" s="20">
        <v>8283310.0499999998</v>
      </c>
      <c r="J813" s="20"/>
      <c r="K813" s="20">
        <v>2997903.03</v>
      </c>
      <c r="L813" s="20">
        <v>-10293117.630000001</v>
      </c>
      <c r="M813" s="20"/>
      <c r="N813" s="20"/>
      <c r="O813" s="20">
        <v>-988095.45</v>
      </c>
      <c r="P813" s="20"/>
      <c r="Q813" s="20"/>
      <c r="R813" s="20"/>
      <c r="S813" s="20"/>
      <c r="T813" s="20">
        <f>8283310.05+K813+L813+O813</f>
        <v>0</v>
      </c>
      <c r="U813" s="20"/>
      <c r="V813" s="20"/>
      <c r="W813" s="20"/>
      <c r="X813" s="20"/>
      <c r="Y813" s="20"/>
      <c r="Z813" s="20"/>
      <c r="AA813" s="20">
        <v>-23858212.449999999</v>
      </c>
      <c r="AB813" s="20">
        <v>-92442813.239999995</v>
      </c>
      <c r="AC813" s="20"/>
      <c r="AD813" s="20">
        <f>116301025.69+AA813+AB813</f>
        <v>0</v>
      </c>
      <c r="AF813" s="30"/>
      <c r="AG813" s="30"/>
      <c r="AH813" s="30"/>
      <c r="AI813" s="30"/>
      <c r="AJ813" s="30"/>
      <c r="AK813" s="30"/>
      <c r="AL813" s="30"/>
    </row>
    <row r="814" spans="1:38" s="44" customFormat="1" ht="52.5" x14ac:dyDescent="0.25">
      <c r="A814" s="5"/>
      <c r="B814" s="3" t="s">
        <v>296</v>
      </c>
      <c r="C814" s="19" t="s">
        <v>292</v>
      </c>
      <c r="D814" s="13">
        <v>0</v>
      </c>
      <c r="E814" s="13" t="s">
        <v>297</v>
      </c>
      <c r="F814" s="13">
        <v>903</v>
      </c>
      <c r="G814" s="19" t="s">
        <v>299</v>
      </c>
      <c r="H814" s="14"/>
      <c r="I814" s="20">
        <f t="shared" ref="I814:AD816" si="162">I815</f>
        <v>168184.75</v>
      </c>
      <c r="J814" s="15"/>
      <c r="K814" s="20">
        <f t="shared" si="162"/>
        <v>40363.43</v>
      </c>
      <c r="L814" s="20">
        <f t="shared" si="162"/>
        <v>-188485.83</v>
      </c>
      <c r="M814" s="20"/>
      <c r="N814" s="20"/>
      <c r="O814" s="20">
        <f t="shared" si="162"/>
        <v>-20062.349999999999</v>
      </c>
      <c r="P814" s="20"/>
      <c r="Q814" s="20"/>
      <c r="R814" s="20"/>
      <c r="S814" s="20"/>
      <c r="T814" s="20">
        <f t="shared" si="162"/>
        <v>0</v>
      </c>
      <c r="U814" s="20"/>
      <c r="V814" s="20"/>
      <c r="W814" s="20"/>
      <c r="X814" s="20"/>
      <c r="Y814" s="20">
        <f t="shared" si="162"/>
        <v>0</v>
      </c>
      <c r="Z814" s="20"/>
      <c r="AA814" s="20"/>
      <c r="AB814" s="20"/>
      <c r="AC814" s="20"/>
      <c r="AD814" s="20">
        <f t="shared" si="162"/>
        <v>0</v>
      </c>
      <c r="AF814" s="30"/>
      <c r="AG814" s="30"/>
      <c r="AH814" s="30"/>
      <c r="AI814" s="30"/>
      <c r="AJ814" s="30"/>
      <c r="AK814" s="30"/>
      <c r="AL814" s="30"/>
    </row>
    <row r="815" spans="1:38" s="44" customFormat="1" ht="22.5" x14ac:dyDescent="0.25">
      <c r="A815" s="5"/>
      <c r="B815" s="5" t="s">
        <v>70</v>
      </c>
      <c r="C815" s="2" t="s">
        <v>292</v>
      </c>
      <c r="D815" s="11">
        <v>0</v>
      </c>
      <c r="E815" s="11" t="s">
        <v>297</v>
      </c>
      <c r="F815" s="11">
        <v>903</v>
      </c>
      <c r="G815" s="2" t="s">
        <v>299</v>
      </c>
      <c r="H815" s="21">
        <v>400</v>
      </c>
      <c r="I815" s="20">
        <f t="shared" si="162"/>
        <v>168184.75</v>
      </c>
      <c r="J815" s="20"/>
      <c r="K815" s="20">
        <f t="shared" si="162"/>
        <v>40363.43</v>
      </c>
      <c r="L815" s="20">
        <f t="shared" si="162"/>
        <v>-188485.83</v>
      </c>
      <c r="M815" s="20"/>
      <c r="N815" s="20"/>
      <c r="O815" s="20">
        <f t="shared" si="162"/>
        <v>-20062.349999999999</v>
      </c>
      <c r="P815" s="20"/>
      <c r="Q815" s="20"/>
      <c r="R815" s="20"/>
      <c r="S815" s="20"/>
      <c r="T815" s="20">
        <f t="shared" si="162"/>
        <v>0</v>
      </c>
      <c r="U815" s="20"/>
      <c r="V815" s="20"/>
      <c r="W815" s="20"/>
      <c r="X815" s="20"/>
      <c r="Y815" s="20">
        <f t="shared" si="162"/>
        <v>0</v>
      </c>
      <c r="Z815" s="20"/>
      <c r="AA815" s="20"/>
      <c r="AB815" s="20"/>
      <c r="AC815" s="20"/>
      <c r="AD815" s="20">
        <f t="shared" si="162"/>
        <v>0</v>
      </c>
      <c r="AF815" s="30"/>
      <c r="AG815" s="30"/>
      <c r="AH815" s="30"/>
      <c r="AI815" s="30"/>
      <c r="AJ815" s="30"/>
      <c r="AK815" s="30"/>
      <c r="AL815" s="30"/>
    </row>
    <row r="816" spans="1:38" s="44" customFormat="1" x14ac:dyDescent="0.25">
      <c r="A816" s="5"/>
      <c r="B816" s="5" t="s">
        <v>71</v>
      </c>
      <c r="C816" s="2" t="s">
        <v>292</v>
      </c>
      <c r="D816" s="11">
        <v>0</v>
      </c>
      <c r="E816" s="11" t="s">
        <v>297</v>
      </c>
      <c r="F816" s="11">
        <v>903</v>
      </c>
      <c r="G816" s="2" t="s">
        <v>299</v>
      </c>
      <c r="H816" s="21">
        <v>410</v>
      </c>
      <c r="I816" s="20">
        <f t="shared" si="162"/>
        <v>168184.75</v>
      </c>
      <c r="J816" s="20"/>
      <c r="K816" s="20">
        <f t="shared" si="162"/>
        <v>40363.43</v>
      </c>
      <c r="L816" s="20">
        <f t="shared" si="162"/>
        <v>-188485.83</v>
      </c>
      <c r="M816" s="20"/>
      <c r="N816" s="20"/>
      <c r="O816" s="20">
        <f t="shared" si="162"/>
        <v>-20062.349999999999</v>
      </c>
      <c r="P816" s="20"/>
      <c r="Q816" s="20"/>
      <c r="R816" s="20"/>
      <c r="S816" s="20"/>
      <c r="T816" s="20">
        <f t="shared" si="162"/>
        <v>0</v>
      </c>
      <c r="U816" s="20"/>
      <c r="V816" s="20"/>
      <c r="W816" s="20"/>
      <c r="X816" s="20"/>
      <c r="Y816" s="20">
        <f t="shared" si="162"/>
        <v>0</v>
      </c>
      <c r="Z816" s="20"/>
      <c r="AA816" s="20"/>
      <c r="AB816" s="20"/>
      <c r="AC816" s="20"/>
      <c r="AD816" s="20">
        <f t="shared" si="162"/>
        <v>0</v>
      </c>
      <c r="AF816" s="30"/>
      <c r="AG816" s="30"/>
      <c r="AH816" s="30"/>
      <c r="AI816" s="30"/>
      <c r="AJ816" s="30"/>
      <c r="AK816" s="30"/>
      <c r="AL816" s="30"/>
    </row>
    <row r="817" spans="1:38" s="44" customFormat="1" ht="33.75" x14ac:dyDescent="0.25">
      <c r="A817" s="5"/>
      <c r="B817" s="5" t="s">
        <v>72</v>
      </c>
      <c r="C817" s="2" t="s">
        <v>292</v>
      </c>
      <c r="D817" s="11">
        <v>0</v>
      </c>
      <c r="E817" s="11" t="s">
        <v>297</v>
      </c>
      <c r="F817" s="11">
        <v>903</v>
      </c>
      <c r="G817" s="2" t="s">
        <v>299</v>
      </c>
      <c r="H817" s="21">
        <v>412</v>
      </c>
      <c r="I817" s="20">
        <v>168184.75</v>
      </c>
      <c r="J817" s="20"/>
      <c r="K817" s="20">
        <v>40363.43</v>
      </c>
      <c r="L817" s="20">
        <v>-188485.83</v>
      </c>
      <c r="M817" s="20"/>
      <c r="N817" s="20"/>
      <c r="O817" s="20">
        <v>-20062.349999999999</v>
      </c>
      <c r="P817" s="20"/>
      <c r="Q817" s="20"/>
      <c r="R817" s="20"/>
      <c r="S817" s="20"/>
      <c r="T817" s="20">
        <f>168184.75+K817+L817+O817</f>
        <v>0</v>
      </c>
      <c r="U817" s="20"/>
      <c r="V817" s="20"/>
      <c r="W817" s="20"/>
      <c r="X817" s="20"/>
      <c r="Y817" s="20"/>
      <c r="Z817" s="20"/>
      <c r="AA817" s="20">
        <v>-240992.05</v>
      </c>
      <c r="AB817" s="20">
        <v>-2120389.87</v>
      </c>
      <c r="AC817" s="20"/>
      <c r="AD817" s="20">
        <f>2361381.92+AA817+AB817</f>
        <v>0</v>
      </c>
      <c r="AF817" s="30"/>
      <c r="AG817" s="30"/>
      <c r="AH817" s="30"/>
      <c r="AI817" s="30"/>
      <c r="AJ817" s="30"/>
      <c r="AK817" s="30"/>
      <c r="AL817" s="30"/>
    </row>
    <row r="818" spans="1:38" s="44" customFormat="1" ht="73.5" x14ac:dyDescent="0.25">
      <c r="A818" s="5"/>
      <c r="B818" s="3" t="s">
        <v>337</v>
      </c>
      <c r="C818" s="19" t="s">
        <v>292</v>
      </c>
      <c r="D818" s="13">
        <v>0</v>
      </c>
      <c r="E818" s="13" t="s">
        <v>297</v>
      </c>
      <c r="F818" s="13">
        <v>903</v>
      </c>
      <c r="G818" s="19" t="s">
        <v>338</v>
      </c>
      <c r="H818" s="14"/>
      <c r="I818" s="20"/>
      <c r="J818" s="20"/>
      <c r="K818" s="20"/>
      <c r="L818" s="20">
        <f t="shared" ref="L818:T820" si="163">L819</f>
        <v>10293117.630000001</v>
      </c>
      <c r="M818" s="20"/>
      <c r="N818" s="20"/>
      <c r="O818" s="20">
        <f>O819+O822</f>
        <v>988095.45</v>
      </c>
      <c r="P818" s="20">
        <f>P819+P822</f>
        <v>0</v>
      </c>
      <c r="Q818" s="20"/>
      <c r="R818" s="20"/>
      <c r="S818" s="20"/>
      <c r="T818" s="20">
        <f>T819+T822</f>
        <v>11281213.080000002</v>
      </c>
      <c r="U818" s="20"/>
      <c r="V818" s="20"/>
      <c r="W818" s="20"/>
      <c r="X818" s="20"/>
      <c r="Y818" s="20"/>
      <c r="Z818" s="20"/>
      <c r="AA818" s="20"/>
      <c r="AB818" s="20"/>
      <c r="AC818" s="20"/>
      <c r="AD818" s="20">
        <f>AD819</f>
        <v>92442813.239999995</v>
      </c>
      <c r="AF818" s="30"/>
      <c r="AG818" s="30"/>
      <c r="AH818" s="30"/>
      <c r="AI818" s="30"/>
      <c r="AJ818" s="30"/>
      <c r="AK818" s="30"/>
      <c r="AL818" s="30"/>
    </row>
    <row r="819" spans="1:38" s="44" customFormat="1" ht="22.5" x14ac:dyDescent="0.25">
      <c r="A819" s="5"/>
      <c r="B819" s="5" t="s">
        <v>70</v>
      </c>
      <c r="C819" s="2" t="s">
        <v>292</v>
      </c>
      <c r="D819" s="11">
        <v>0</v>
      </c>
      <c r="E819" s="11" t="s">
        <v>297</v>
      </c>
      <c r="F819" s="11">
        <v>903</v>
      </c>
      <c r="G819" s="2" t="s">
        <v>338</v>
      </c>
      <c r="H819" s="21">
        <v>400</v>
      </c>
      <c r="I819" s="20"/>
      <c r="J819" s="20"/>
      <c r="K819" s="20"/>
      <c r="L819" s="20">
        <f t="shared" si="163"/>
        <v>10293117.630000001</v>
      </c>
      <c r="M819" s="20"/>
      <c r="N819" s="20"/>
      <c r="O819" s="20">
        <f t="shared" si="163"/>
        <v>-61550.49</v>
      </c>
      <c r="P819" s="20">
        <f t="shared" si="163"/>
        <v>-805721.59</v>
      </c>
      <c r="Q819" s="20"/>
      <c r="R819" s="20"/>
      <c r="S819" s="20"/>
      <c r="T819" s="20">
        <f t="shared" si="163"/>
        <v>8888699.7800000012</v>
      </c>
      <c r="U819" s="20"/>
      <c r="V819" s="20"/>
      <c r="W819" s="20"/>
      <c r="X819" s="20"/>
      <c r="Y819" s="20"/>
      <c r="Z819" s="20"/>
      <c r="AA819" s="20"/>
      <c r="AB819" s="20"/>
      <c r="AC819" s="20"/>
      <c r="AD819" s="20">
        <f>AD820</f>
        <v>92442813.239999995</v>
      </c>
      <c r="AF819" s="30"/>
      <c r="AG819" s="30"/>
      <c r="AH819" s="30"/>
      <c r="AI819" s="30"/>
      <c r="AJ819" s="30"/>
      <c r="AK819" s="30"/>
      <c r="AL819" s="30"/>
    </row>
    <row r="820" spans="1:38" s="44" customFormat="1" x14ac:dyDescent="0.25">
      <c r="A820" s="5"/>
      <c r="B820" s="5" t="s">
        <v>71</v>
      </c>
      <c r="C820" s="2" t="s">
        <v>292</v>
      </c>
      <c r="D820" s="11">
        <v>0</v>
      </c>
      <c r="E820" s="11" t="s">
        <v>297</v>
      </c>
      <c r="F820" s="11">
        <v>903</v>
      </c>
      <c r="G820" s="2" t="s">
        <v>338</v>
      </c>
      <c r="H820" s="21">
        <v>410</v>
      </c>
      <c r="I820" s="20"/>
      <c r="J820" s="20"/>
      <c r="K820" s="20"/>
      <c r="L820" s="20">
        <f t="shared" si="163"/>
        <v>10293117.630000001</v>
      </c>
      <c r="M820" s="20"/>
      <c r="N820" s="20"/>
      <c r="O820" s="20">
        <f t="shared" si="163"/>
        <v>-61550.49</v>
      </c>
      <c r="P820" s="20">
        <f t="shared" si="163"/>
        <v>-805721.59</v>
      </c>
      <c r="Q820" s="20"/>
      <c r="R820" s="20"/>
      <c r="S820" s="20"/>
      <c r="T820" s="20">
        <f t="shared" si="163"/>
        <v>8888699.7800000012</v>
      </c>
      <c r="U820" s="20"/>
      <c r="V820" s="20"/>
      <c r="W820" s="20"/>
      <c r="X820" s="20"/>
      <c r="Y820" s="20"/>
      <c r="Z820" s="20"/>
      <c r="AA820" s="20"/>
      <c r="AB820" s="20"/>
      <c r="AC820" s="20"/>
      <c r="AD820" s="20">
        <f>AD821</f>
        <v>92442813.239999995</v>
      </c>
      <c r="AF820" s="30"/>
      <c r="AG820" s="30"/>
      <c r="AH820" s="30"/>
      <c r="AI820" s="30"/>
      <c r="AJ820" s="30"/>
      <c r="AK820" s="30"/>
      <c r="AL820" s="30"/>
    </row>
    <row r="821" spans="1:38" s="44" customFormat="1" ht="33.75" x14ac:dyDescent="0.25">
      <c r="A821" s="5"/>
      <c r="B821" s="5" t="s">
        <v>72</v>
      </c>
      <c r="C821" s="2" t="s">
        <v>292</v>
      </c>
      <c r="D821" s="11">
        <v>0</v>
      </c>
      <c r="E821" s="11" t="s">
        <v>297</v>
      </c>
      <c r="F821" s="11">
        <v>903</v>
      </c>
      <c r="G821" s="2" t="s">
        <v>338</v>
      </c>
      <c r="H821" s="21">
        <v>412</v>
      </c>
      <c r="I821" s="20"/>
      <c r="J821" s="20"/>
      <c r="K821" s="20"/>
      <c r="L821" s="20">
        <v>10293117.630000001</v>
      </c>
      <c r="M821" s="20"/>
      <c r="N821" s="20"/>
      <c r="O821" s="20">
        <v>-61550.49</v>
      </c>
      <c r="P821" s="20">
        <v>-805721.59</v>
      </c>
      <c r="Q821" s="20"/>
      <c r="R821" s="20"/>
      <c r="S821" s="20">
        <v>-537145.77</v>
      </c>
      <c r="T821" s="20">
        <f>L821+O821+P821+S821</f>
        <v>8888699.7800000012</v>
      </c>
      <c r="U821" s="20"/>
      <c r="V821" s="20"/>
      <c r="W821" s="20"/>
      <c r="X821" s="20"/>
      <c r="Y821" s="20"/>
      <c r="Z821" s="20"/>
      <c r="AA821" s="20"/>
      <c r="AB821" s="20">
        <v>92442813.239999995</v>
      </c>
      <c r="AC821" s="20"/>
      <c r="AD821" s="20">
        <f>AB821</f>
        <v>92442813.239999995</v>
      </c>
      <c r="AF821" s="30"/>
      <c r="AG821" s="30"/>
      <c r="AH821" s="30"/>
      <c r="AI821" s="30"/>
      <c r="AJ821" s="30"/>
      <c r="AK821" s="30"/>
      <c r="AL821" s="30"/>
    </row>
    <row r="822" spans="1:38" s="44" customFormat="1" x14ac:dyDescent="0.25">
      <c r="A822" s="5"/>
      <c r="B822" s="5" t="s">
        <v>59</v>
      </c>
      <c r="C822" s="2" t="s">
        <v>292</v>
      </c>
      <c r="D822" s="11">
        <v>0</v>
      </c>
      <c r="E822" s="11" t="s">
        <v>297</v>
      </c>
      <c r="F822" s="11">
        <v>903</v>
      </c>
      <c r="G822" s="2" t="s">
        <v>338</v>
      </c>
      <c r="H822" s="21">
        <v>800</v>
      </c>
      <c r="I822" s="20"/>
      <c r="J822" s="20"/>
      <c r="K822" s="20"/>
      <c r="L822" s="20"/>
      <c r="M822" s="20"/>
      <c r="N822" s="20"/>
      <c r="O822" s="20">
        <f t="shared" ref="O822:T823" si="164">O823</f>
        <v>1049645.94</v>
      </c>
      <c r="P822" s="20">
        <f t="shared" si="164"/>
        <v>805721.59</v>
      </c>
      <c r="Q822" s="20"/>
      <c r="R822" s="20"/>
      <c r="S822" s="20"/>
      <c r="T822" s="20">
        <f t="shared" si="164"/>
        <v>2392513.2999999998</v>
      </c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F822" s="30"/>
      <c r="AG822" s="30"/>
      <c r="AH822" s="30"/>
      <c r="AI822" s="30"/>
      <c r="AJ822" s="30"/>
      <c r="AK822" s="30"/>
      <c r="AL822" s="30"/>
    </row>
    <row r="823" spans="1:38" s="44" customFormat="1" x14ac:dyDescent="0.25">
      <c r="A823" s="5"/>
      <c r="B823" s="5" t="s">
        <v>62</v>
      </c>
      <c r="C823" s="2" t="s">
        <v>292</v>
      </c>
      <c r="D823" s="11">
        <v>0</v>
      </c>
      <c r="E823" s="11" t="s">
        <v>297</v>
      </c>
      <c r="F823" s="11">
        <v>903</v>
      </c>
      <c r="G823" s="2" t="s">
        <v>338</v>
      </c>
      <c r="H823" s="21">
        <v>850</v>
      </c>
      <c r="I823" s="20"/>
      <c r="J823" s="20"/>
      <c r="K823" s="20"/>
      <c r="L823" s="20"/>
      <c r="M823" s="20"/>
      <c r="N823" s="20"/>
      <c r="O823" s="20">
        <f t="shared" si="164"/>
        <v>1049645.94</v>
      </c>
      <c r="P823" s="20">
        <f t="shared" si="164"/>
        <v>805721.59</v>
      </c>
      <c r="Q823" s="20"/>
      <c r="R823" s="20"/>
      <c r="S823" s="20"/>
      <c r="T823" s="20">
        <f t="shared" si="164"/>
        <v>2392513.2999999998</v>
      </c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F823" s="30"/>
      <c r="AG823" s="30"/>
      <c r="AH823" s="30"/>
      <c r="AI823" s="30"/>
      <c r="AJ823" s="30"/>
      <c r="AK823" s="30"/>
      <c r="AL823" s="30"/>
    </row>
    <row r="824" spans="1:38" s="44" customFormat="1" x14ac:dyDescent="0.25">
      <c r="A824" s="5"/>
      <c r="B824" s="5" t="s">
        <v>133</v>
      </c>
      <c r="C824" s="2" t="s">
        <v>292</v>
      </c>
      <c r="D824" s="11">
        <v>0</v>
      </c>
      <c r="E824" s="11" t="s">
        <v>297</v>
      </c>
      <c r="F824" s="11">
        <v>903</v>
      </c>
      <c r="G824" s="2" t="s">
        <v>338</v>
      </c>
      <c r="H824" s="21">
        <v>853</v>
      </c>
      <c r="I824" s="20"/>
      <c r="J824" s="20"/>
      <c r="K824" s="20"/>
      <c r="L824" s="20"/>
      <c r="M824" s="20"/>
      <c r="N824" s="20"/>
      <c r="O824" s="20">
        <v>1049645.94</v>
      </c>
      <c r="P824" s="20">
        <v>805721.59</v>
      </c>
      <c r="Q824" s="20"/>
      <c r="R824" s="20"/>
      <c r="S824" s="20">
        <v>537145.77</v>
      </c>
      <c r="T824" s="20">
        <f>O824+P824+S824</f>
        <v>2392513.2999999998</v>
      </c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F824" s="30"/>
      <c r="AG824" s="30"/>
      <c r="AH824" s="30"/>
      <c r="AI824" s="30"/>
      <c r="AJ824" s="30"/>
      <c r="AK824" s="30"/>
      <c r="AL824" s="30"/>
    </row>
    <row r="825" spans="1:38" s="44" customFormat="1" ht="63" x14ac:dyDescent="0.25">
      <c r="A825" s="5"/>
      <c r="B825" s="3" t="s">
        <v>349</v>
      </c>
      <c r="C825" s="19" t="s">
        <v>292</v>
      </c>
      <c r="D825" s="13">
        <v>0</v>
      </c>
      <c r="E825" s="13" t="s">
        <v>297</v>
      </c>
      <c r="F825" s="13">
        <v>903</v>
      </c>
      <c r="G825" s="19" t="s">
        <v>339</v>
      </c>
      <c r="H825" s="14"/>
      <c r="I825" s="20"/>
      <c r="J825" s="20"/>
      <c r="K825" s="20"/>
      <c r="L825" s="20">
        <f t="shared" ref="L825:T827" si="165">L826</f>
        <v>103970.88</v>
      </c>
      <c r="M825" s="20"/>
      <c r="N825" s="20"/>
      <c r="O825" s="20">
        <f>O826+O829</f>
        <v>9980.77</v>
      </c>
      <c r="P825" s="20">
        <f>P826+P829</f>
        <v>0</v>
      </c>
      <c r="Q825" s="20"/>
      <c r="R825" s="20"/>
      <c r="S825" s="20"/>
      <c r="T825" s="20">
        <f>T826+T829</f>
        <v>113951.65</v>
      </c>
      <c r="U825" s="20"/>
      <c r="V825" s="20"/>
      <c r="W825" s="20"/>
      <c r="X825" s="20"/>
      <c r="Y825" s="20"/>
      <c r="Z825" s="20"/>
      <c r="AA825" s="20"/>
      <c r="AB825" s="20"/>
      <c r="AC825" s="20"/>
      <c r="AD825" s="20">
        <f>AD826</f>
        <v>933765.79</v>
      </c>
      <c r="AF825" s="30"/>
      <c r="AG825" s="30"/>
      <c r="AH825" s="30"/>
      <c r="AI825" s="30"/>
      <c r="AJ825" s="30"/>
      <c r="AK825" s="30"/>
      <c r="AL825" s="30"/>
    </row>
    <row r="826" spans="1:38" s="44" customFormat="1" ht="22.5" x14ac:dyDescent="0.25">
      <c r="A826" s="5"/>
      <c r="B826" s="5" t="s">
        <v>70</v>
      </c>
      <c r="C826" s="2" t="s">
        <v>292</v>
      </c>
      <c r="D826" s="11">
        <v>0</v>
      </c>
      <c r="E826" s="11" t="s">
        <v>297</v>
      </c>
      <c r="F826" s="11">
        <v>903</v>
      </c>
      <c r="G826" s="2" t="s">
        <v>339</v>
      </c>
      <c r="H826" s="21">
        <v>400</v>
      </c>
      <c r="I826" s="20"/>
      <c r="J826" s="20"/>
      <c r="K826" s="20"/>
      <c r="L826" s="20">
        <f t="shared" si="165"/>
        <v>103970.88</v>
      </c>
      <c r="M826" s="20"/>
      <c r="N826" s="20"/>
      <c r="O826" s="20">
        <f t="shared" si="165"/>
        <v>-621.71</v>
      </c>
      <c r="P826" s="20">
        <f t="shared" si="165"/>
        <v>-8138.6</v>
      </c>
      <c r="Q826" s="20"/>
      <c r="R826" s="20"/>
      <c r="S826" s="20"/>
      <c r="T826" s="20">
        <f t="shared" si="165"/>
        <v>89784.859999999986</v>
      </c>
      <c r="U826" s="20"/>
      <c r="V826" s="20"/>
      <c r="W826" s="20"/>
      <c r="X826" s="20"/>
      <c r="Y826" s="20"/>
      <c r="Z826" s="20"/>
      <c r="AA826" s="20"/>
      <c r="AB826" s="20"/>
      <c r="AC826" s="20"/>
      <c r="AD826" s="20">
        <f>AD827</f>
        <v>933765.79</v>
      </c>
      <c r="AF826" s="30"/>
      <c r="AG826" s="30"/>
      <c r="AH826" s="30"/>
      <c r="AI826" s="30"/>
      <c r="AJ826" s="30"/>
      <c r="AK826" s="30"/>
      <c r="AL826" s="30"/>
    </row>
    <row r="827" spans="1:38" s="44" customFormat="1" x14ac:dyDescent="0.25">
      <c r="A827" s="5"/>
      <c r="B827" s="5" t="s">
        <v>71</v>
      </c>
      <c r="C827" s="2" t="s">
        <v>292</v>
      </c>
      <c r="D827" s="11">
        <v>0</v>
      </c>
      <c r="E827" s="11" t="s">
        <v>297</v>
      </c>
      <c r="F827" s="11">
        <v>903</v>
      </c>
      <c r="G827" s="2" t="s">
        <v>339</v>
      </c>
      <c r="H827" s="21">
        <v>410</v>
      </c>
      <c r="I827" s="20"/>
      <c r="J827" s="20"/>
      <c r="K827" s="20"/>
      <c r="L827" s="20">
        <f t="shared" si="165"/>
        <v>103970.88</v>
      </c>
      <c r="M827" s="20"/>
      <c r="N827" s="20"/>
      <c r="O827" s="20">
        <f t="shared" si="165"/>
        <v>-621.71</v>
      </c>
      <c r="P827" s="20">
        <f t="shared" si="165"/>
        <v>-8138.6</v>
      </c>
      <c r="Q827" s="20"/>
      <c r="R827" s="20"/>
      <c r="S827" s="20"/>
      <c r="T827" s="20">
        <f t="shared" si="165"/>
        <v>89784.859999999986</v>
      </c>
      <c r="U827" s="20"/>
      <c r="V827" s="20"/>
      <c r="W827" s="20"/>
      <c r="X827" s="20"/>
      <c r="Y827" s="20"/>
      <c r="Z827" s="20"/>
      <c r="AA827" s="20"/>
      <c r="AB827" s="20"/>
      <c r="AC827" s="20"/>
      <c r="AD827" s="20">
        <f>AD828</f>
        <v>933765.79</v>
      </c>
      <c r="AF827" s="30"/>
      <c r="AG827" s="30"/>
      <c r="AH827" s="30"/>
      <c r="AI827" s="30"/>
      <c r="AJ827" s="30"/>
      <c r="AK827" s="30"/>
      <c r="AL827" s="30"/>
    </row>
    <row r="828" spans="1:38" s="44" customFormat="1" ht="33.75" x14ac:dyDescent="0.25">
      <c r="A828" s="5"/>
      <c r="B828" s="5" t="s">
        <v>72</v>
      </c>
      <c r="C828" s="2" t="s">
        <v>292</v>
      </c>
      <c r="D828" s="11">
        <v>0</v>
      </c>
      <c r="E828" s="11" t="s">
        <v>297</v>
      </c>
      <c r="F828" s="11">
        <v>903</v>
      </c>
      <c r="G828" s="2" t="s">
        <v>339</v>
      </c>
      <c r="H828" s="21">
        <v>412</v>
      </c>
      <c r="I828" s="20"/>
      <c r="J828" s="20"/>
      <c r="K828" s="20"/>
      <c r="L828" s="20">
        <v>103970.88</v>
      </c>
      <c r="M828" s="20"/>
      <c r="N828" s="20"/>
      <c r="O828" s="20">
        <v>-621.71</v>
      </c>
      <c r="P828" s="20">
        <v>-8138.6</v>
      </c>
      <c r="Q828" s="20"/>
      <c r="R828" s="20"/>
      <c r="S828" s="20">
        <v>-5425.71</v>
      </c>
      <c r="T828" s="20">
        <f>L828+O828+P828+S828</f>
        <v>89784.859999999986</v>
      </c>
      <c r="U828" s="20"/>
      <c r="V828" s="20"/>
      <c r="W828" s="20"/>
      <c r="X828" s="20"/>
      <c r="Y828" s="20"/>
      <c r="Z828" s="20"/>
      <c r="AA828" s="20"/>
      <c r="AB828" s="20">
        <v>933765.79</v>
      </c>
      <c r="AC828" s="20"/>
      <c r="AD828" s="20">
        <f>AB828</f>
        <v>933765.79</v>
      </c>
      <c r="AF828" s="30"/>
      <c r="AG828" s="30"/>
      <c r="AH828" s="30"/>
      <c r="AI828" s="30"/>
      <c r="AJ828" s="30"/>
      <c r="AK828" s="30"/>
      <c r="AL828" s="30"/>
    </row>
    <row r="829" spans="1:38" s="44" customFormat="1" x14ac:dyDescent="0.25">
      <c r="A829" s="5"/>
      <c r="B829" s="5" t="s">
        <v>59</v>
      </c>
      <c r="C829" s="2" t="s">
        <v>292</v>
      </c>
      <c r="D829" s="11">
        <v>0</v>
      </c>
      <c r="E829" s="11" t="s">
        <v>297</v>
      </c>
      <c r="F829" s="11">
        <v>903</v>
      </c>
      <c r="G829" s="2" t="s">
        <v>339</v>
      </c>
      <c r="H829" s="21">
        <v>800</v>
      </c>
      <c r="I829" s="20"/>
      <c r="J829" s="20"/>
      <c r="K829" s="20"/>
      <c r="L829" s="20"/>
      <c r="M829" s="20"/>
      <c r="N829" s="20"/>
      <c r="O829" s="20">
        <f t="shared" ref="O829:T830" si="166">O830</f>
        <v>10602.48</v>
      </c>
      <c r="P829" s="20">
        <f t="shared" si="166"/>
        <v>8138.6</v>
      </c>
      <c r="Q829" s="20"/>
      <c r="R829" s="20"/>
      <c r="S829" s="20"/>
      <c r="T829" s="20">
        <f t="shared" si="166"/>
        <v>24166.79</v>
      </c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F829" s="30"/>
      <c r="AG829" s="30"/>
      <c r="AH829" s="30"/>
      <c r="AI829" s="30"/>
      <c r="AJ829" s="30"/>
      <c r="AK829" s="30"/>
      <c r="AL829" s="30"/>
    </row>
    <row r="830" spans="1:38" s="44" customFormat="1" x14ac:dyDescent="0.25">
      <c r="A830" s="5"/>
      <c r="B830" s="5" t="s">
        <v>62</v>
      </c>
      <c r="C830" s="2" t="s">
        <v>292</v>
      </c>
      <c r="D830" s="11">
        <v>0</v>
      </c>
      <c r="E830" s="11" t="s">
        <v>297</v>
      </c>
      <c r="F830" s="11">
        <v>903</v>
      </c>
      <c r="G830" s="2" t="s">
        <v>339</v>
      </c>
      <c r="H830" s="21">
        <v>850</v>
      </c>
      <c r="I830" s="20"/>
      <c r="J830" s="20"/>
      <c r="K830" s="20"/>
      <c r="L830" s="20"/>
      <c r="M830" s="20"/>
      <c r="N830" s="20"/>
      <c r="O830" s="20">
        <f t="shared" si="166"/>
        <v>10602.48</v>
      </c>
      <c r="P830" s="20">
        <f t="shared" si="166"/>
        <v>8138.6</v>
      </c>
      <c r="Q830" s="20"/>
      <c r="R830" s="20"/>
      <c r="S830" s="20"/>
      <c r="T830" s="20">
        <f t="shared" si="166"/>
        <v>24166.79</v>
      </c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F830" s="30"/>
      <c r="AG830" s="30"/>
      <c r="AH830" s="30"/>
      <c r="AI830" s="30"/>
      <c r="AJ830" s="30"/>
      <c r="AK830" s="30"/>
      <c r="AL830" s="30"/>
    </row>
    <row r="831" spans="1:38" s="44" customFormat="1" x14ac:dyDescent="0.25">
      <c r="A831" s="5"/>
      <c r="B831" s="5" t="s">
        <v>133</v>
      </c>
      <c r="C831" s="2" t="s">
        <v>292</v>
      </c>
      <c r="D831" s="11">
        <v>0</v>
      </c>
      <c r="E831" s="11" t="s">
        <v>297</v>
      </c>
      <c r="F831" s="11">
        <v>903</v>
      </c>
      <c r="G831" s="2" t="s">
        <v>339</v>
      </c>
      <c r="H831" s="21">
        <v>853</v>
      </c>
      <c r="I831" s="20"/>
      <c r="J831" s="20"/>
      <c r="K831" s="20"/>
      <c r="L831" s="20"/>
      <c r="M831" s="20"/>
      <c r="N831" s="20"/>
      <c r="O831" s="20">
        <v>10602.48</v>
      </c>
      <c r="P831" s="20">
        <v>8138.6</v>
      </c>
      <c r="Q831" s="20"/>
      <c r="R831" s="20"/>
      <c r="S831" s="20">
        <v>5425.71</v>
      </c>
      <c r="T831" s="20">
        <f>O831+P831+S831</f>
        <v>24166.79</v>
      </c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F831" s="30"/>
      <c r="AG831" s="30"/>
      <c r="AH831" s="30"/>
      <c r="AI831" s="30"/>
      <c r="AJ831" s="30"/>
      <c r="AK831" s="30"/>
      <c r="AL831" s="30"/>
    </row>
    <row r="832" spans="1:38" s="44" customFormat="1" ht="52.5" x14ac:dyDescent="0.25">
      <c r="A832" s="5"/>
      <c r="B832" s="3" t="s">
        <v>350</v>
      </c>
      <c r="C832" s="19" t="s">
        <v>292</v>
      </c>
      <c r="D832" s="13">
        <v>0</v>
      </c>
      <c r="E832" s="13" t="s">
        <v>297</v>
      </c>
      <c r="F832" s="13">
        <v>903</v>
      </c>
      <c r="G832" s="19" t="s">
        <v>340</v>
      </c>
      <c r="H832" s="14"/>
      <c r="I832" s="20"/>
      <c r="J832" s="20"/>
      <c r="K832" s="20"/>
      <c r="L832" s="20">
        <f t="shared" ref="L832:T834" si="167">L833</f>
        <v>105021.1</v>
      </c>
      <c r="M832" s="20"/>
      <c r="N832" s="20"/>
      <c r="O832" s="20">
        <f>O833+O836</f>
        <v>10081.58</v>
      </c>
      <c r="P832" s="20">
        <f>P833+P836</f>
        <v>0</v>
      </c>
      <c r="Q832" s="20"/>
      <c r="R832" s="20"/>
      <c r="S832" s="20"/>
      <c r="T832" s="20">
        <f>T833+T836</f>
        <v>115102.68000000001</v>
      </c>
      <c r="U832" s="20"/>
      <c r="V832" s="20"/>
      <c r="W832" s="20"/>
      <c r="X832" s="20"/>
      <c r="Y832" s="20"/>
      <c r="Z832" s="20"/>
      <c r="AA832" s="20"/>
      <c r="AB832" s="20"/>
      <c r="AC832" s="20"/>
      <c r="AD832" s="20">
        <f>AD833</f>
        <v>1186624.08</v>
      </c>
      <c r="AF832" s="30"/>
      <c r="AG832" s="30"/>
      <c r="AH832" s="30"/>
      <c r="AI832" s="30"/>
      <c r="AJ832" s="30"/>
      <c r="AK832" s="30"/>
      <c r="AL832" s="30"/>
    </row>
    <row r="833" spans="1:38" s="44" customFormat="1" ht="22.5" x14ac:dyDescent="0.25">
      <c r="A833" s="5"/>
      <c r="B833" s="5" t="s">
        <v>70</v>
      </c>
      <c r="C833" s="2" t="s">
        <v>292</v>
      </c>
      <c r="D833" s="11">
        <v>0</v>
      </c>
      <c r="E833" s="11" t="s">
        <v>297</v>
      </c>
      <c r="F833" s="11">
        <v>903</v>
      </c>
      <c r="G833" s="2" t="s">
        <v>340</v>
      </c>
      <c r="H833" s="21">
        <v>400</v>
      </c>
      <c r="I833" s="20"/>
      <c r="J833" s="20"/>
      <c r="K833" s="20"/>
      <c r="L833" s="20">
        <f t="shared" si="167"/>
        <v>105021.1</v>
      </c>
      <c r="M833" s="20"/>
      <c r="N833" s="20"/>
      <c r="O833" s="20">
        <f t="shared" si="167"/>
        <v>-628</v>
      </c>
      <c r="P833" s="20">
        <f t="shared" si="167"/>
        <v>-8220.81</v>
      </c>
      <c r="Q833" s="20"/>
      <c r="R833" s="20"/>
      <c r="S833" s="20"/>
      <c r="T833" s="20">
        <f t="shared" si="167"/>
        <v>90691.77</v>
      </c>
      <c r="U833" s="20"/>
      <c r="V833" s="20"/>
      <c r="W833" s="20"/>
      <c r="X833" s="20"/>
      <c r="Y833" s="20"/>
      <c r="Z833" s="20"/>
      <c r="AA833" s="20"/>
      <c r="AB833" s="20"/>
      <c r="AC833" s="20"/>
      <c r="AD833" s="20">
        <f>AD834</f>
        <v>1186624.08</v>
      </c>
      <c r="AF833" s="30"/>
      <c r="AG833" s="30"/>
      <c r="AH833" s="30"/>
      <c r="AI833" s="30"/>
      <c r="AJ833" s="30"/>
      <c r="AK833" s="30"/>
      <c r="AL833" s="30"/>
    </row>
    <row r="834" spans="1:38" s="44" customFormat="1" x14ac:dyDescent="0.25">
      <c r="A834" s="5"/>
      <c r="B834" s="5" t="s">
        <v>71</v>
      </c>
      <c r="C834" s="2" t="s">
        <v>292</v>
      </c>
      <c r="D834" s="11">
        <v>0</v>
      </c>
      <c r="E834" s="11" t="s">
        <v>297</v>
      </c>
      <c r="F834" s="11">
        <v>903</v>
      </c>
      <c r="G834" s="2" t="s">
        <v>340</v>
      </c>
      <c r="H834" s="21">
        <v>410</v>
      </c>
      <c r="I834" s="20"/>
      <c r="J834" s="20"/>
      <c r="K834" s="20"/>
      <c r="L834" s="20">
        <f t="shared" si="167"/>
        <v>105021.1</v>
      </c>
      <c r="M834" s="20"/>
      <c r="N834" s="20"/>
      <c r="O834" s="20">
        <f t="shared" si="167"/>
        <v>-628</v>
      </c>
      <c r="P834" s="20">
        <f t="shared" si="167"/>
        <v>-8220.81</v>
      </c>
      <c r="Q834" s="20"/>
      <c r="R834" s="20"/>
      <c r="S834" s="20"/>
      <c r="T834" s="20">
        <f t="shared" si="167"/>
        <v>90691.77</v>
      </c>
      <c r="U834" s="20"/>
      <c r="V834" s="20"/>
      <c r="W834" s="20"/>
      <c r="X834" s="20"/>
      <c r="Y834" s="20"/>
      <c r="Z834" s="20"/>
      <c r="AA834" s="20"/>
      <c r="AB834" s="20"/>
      <c r="AC834" s="20"/>
      <c r="AD834" s="20">
        <f>AD835</f>
        <v>1186624.08</v>
      </c>
      <c r="AF834" s="30"/>
      <c r="AG834" s="30"/>
      <c r="AH834" s="30"/>
      <c r="AI834" s="30"/>
      <c r="AJ834" s="30"/>
      <c r="AK834" s="30"/>
      <c r="AL834" s="30"/>
    </row>
    <row r="835" spans="1:38" s="44" customFormat="1" ht="33.75" x14ac:dyDescent="0.25">
      <c r="A835" s="5"/>
      <c r="B835" s="5" t="s">
        <v>72</v>
      </c>
      <c r="C835" s="2" t="s">
        <v>292</v>
      </c>
      <c r="D835" s="11">
        <v>0</v>
      </c>
      <c r="E835" s="11" t="s">
        <v>297</v>
      </c>
      <c r="F835" s="11">
        <v>903</v>
      </c>
      <c r="G835" s="2" t="s">
        <v>340</v>
      </c>
      <c r="H835" s="21">
        <v>412</v>
      </c>
      <c r="I835" s="20"/>
      <c r="J835" s="20"/>
      <c r="K835" s="20"/>
      <c r="L835" s="20">
        <v>105021.1</v>
      </c>
      <c r="M835" s="20"/>
      <c r="N835" s="20"/>
      <c r="O835" s="20">
        <v>-628</v>
      </c>
      <c r="P835" s="20">
        <v>-8220.81</v>
      </c>
      <c r="Q835" s="20"/>
      <c r="R835" s="20"/>
      <c r="S835" s="20">
        <v>-5480.52</v>
      </c>
      <c r="T835" s="20">
        <f>L835+O835+P835+S835</f>
        <v>90691.77</v>
      </c>
      <c r="U835" s="20"/>
      <c r="V835" s="20"/>
      <c r="W835" s="20"/>
      <c r="X835" s="20"/>
      <c r="Y835" s="20"/>
      <c r="Z835" s="20"/>
      <c r="AA835" s="20"/>
      <c r="AB835" s="20">
        <v>1186624.08</v>
      </c>
      <c r="AC835" s="20"/>
      <c r="AD835" s="20">
        <f>AB835</f>
        <v>1186624.08</v>
      </c>
      <c r="AF835" s="30"/>
      <c r="AG835" s="30"/>
      <c r="AH835" s="30"/>
      <c r="AI835" s="30"/>
      <c r="AJ835" s="30"/>
      <c r="AK835" s="30"/>
      <c r="AL835" s="30"/>
    </row>
    <row r="836" spans="1:38" s="44" customFormat="1" x14ac:dyDescent="0.25">
      <c r="A836" s="5"/>
      <c r="B836" s="5" t="s">
        <v>59</v>
      </c>
      <c r="C836" s="2" t="s">
        <v>292</v>
      </c>
      <c r="D836" s="11">
        <v>0</v>
      </c>
      <c r="E836" s="11" t="s">
        <v>297</v>
      </c>
      <c r="F836" s="11">
        <v>903</v>
      </c>
      <c r="G836" s="2" t="s">
        <v>340</v>
      </c>
      <c r="H836" s="21">
        <v>800</v>
      </c>
      <c r="I836" s="20"/>
      <c r="J836" s="20"/>
      <c r="K836" s="20"/>
      <c r="L836" s="20"/>
      <c r="M836" s="20"/>
      <c r="N836" s="20"/>
      <c r="O836" s="20">
        <f t="shared" ref="O836:T837" si="168">O837</f>
        <v>10709.58</v>
      </c>
      <c r="P836" s="20">
        <f t="shared" si="168"/>
        <v>8220.81</v>
      </c>
      <c r="Q836" s="20"/>
      <c r="R836" s="20"/>
      <c r="S836" s="20"/>
      <c r="T836" s="20">
        <f t="shared" si="168"/>
        <v>24410.91</v>
      </c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F836" s="30"/>
      <c r="AG836" s="30"/>
      <c r="AH836" s="30"/>
      <c r="AI836" s="30"/>
      <c r="AJ836" s="30"/>
      <c r="AK836" s="30"/>
      <c r="AL836" s="30"/>
    </row>
    <row r="837" spans="1:38" s="44" customFormat="1" x14ac:dyDescent="0.25">
      <c r="A837" s="5"/>
      <c r="B837" s="5" t="s">
        <v>62</v>
      </c>
      <c r="C837" s="2" t="s">
        <v>292</v>
      </c>
      <c r="D837" s="11">
        <v>0</v>
      </c>
      <c r="E837" s="11" t="s">
        <v>297</v>
      </c>
      <c r="F837" s="11">
        <v>903</v>
      </c>
      <c r="G837" s="2" t="s">
        <v>340</v>
      </c>
      <c r="H837" s="21">
        <v>850</v>
      </c>
      <c r="I837" s="20"/>
      <c r="J837" s="20"/>
      <c r="K837" s="20"/>
      <c r="L837" s="20"/>
      <c r="M837" s="20"/>
      <c r="N837" s="20"/>
      <c r="O837" s="20">
        <f t="shared" si="168"/>
        <v>10709.58</v>
      </c>
      <c r="P837" s="20">
        <f t="shared" si="168"/>
        <v>8220.81</v>
      </c>
      <c r="Q837" s="20"/>
      <c r="R837" s="20"/>
      <c r="S837" s="20"/>
      <c r="T837" s="20">
        <f t="shared" si="168"/>
        <v>24410.91</v>
      </c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F837" s="30"/>
      <c r="AG837" s="30"/>
      <c r="AH837" s="30"/>
      <c r="AI837" s="30"/>
      <c r="AJ837" s="30"/>
      <c r="AK837" s="30"/>
      <c r="AL837" s="30"/>
    </row>
    <row r="838" spans="1:38" s="44" customFormat="1" x14ac:dyDescent="0.25">
      <c r="A838" s="5"/>
      <c r="B838" s="5" t="s">
        <v>133</v>
      </c>
      <c r="C838" s="2" t="s">
        <v>292</v>
      </c>
      <c r="D838" s="11">
        <v>0</v>
      </c>
      <c r="E838" s="11" t="s">
        <v>297</v>
      </c>
      <c r="F838" s="11">
        <v>903</v>
      </c>
      <c r="G838" s="2" t="s">
        <v>340</v>
      </c>
      <c r="H838" s="21">
        <v>853</v>
      </c>
      <c r="I838" s="20"/>
      <c r="J838" s="20"/>
      <c r="K838" s="20"/>
      <c r="L838" s="20"/>
      <c r="M838" s="20"/>
      <c r="N838" s="20"/>
      <c r="O838" s="20">
        <v>10709.58</v>
      </c>
      <c r="P838" s="20">
        <v>8220.81</v>
      </c>
      <c r="Q838" s="20"/>
      <c r="R838" s="20"/>
      <c r="S838" s="20">
        <v>5480.52</v>
      </c>
      <c r="T838" s="20">
        <f>O838+P838+S838</f>
        <v>24410.91</v>
      </c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F838" s="30"/>
      <c r="AG838" s="30"/>
      <c r="AH838" s="30"/>
      <c r="AI838" s="30"/>
      <c r="AJ838" s="30"/>
      <c r="AK838" s="30"/>
      <c r="AL838" s="30"/>
    </row>
    <row r="839" spans="1:38" s="44" customFormat="1" x14ac:dyDescent="0.25">
      <c r="A839" s="5"/>
      <c r="B839" s="3" t="s">
        <v>300</v>
      </c>
      <c r="C839" s="2" t="s">
        <v>355</v>
      </c>
      <c r="D839" s="11"/>
      <c r="E839" s="11"/>
      <c r="F839" s="11"/>
      <c r="G839" s="2"/>
      <c r="H839" s="21"/>
      <c r="I839" s="20"/>
      <c r="J839" s="20"/>
      <c r="K839" s="20"/>
      <c r="L839" s="20"/>
      <c r="M839" s="20"/>
      <c r="N839" s="20"/>
      <c r="O839" s="20"/>
      <c r="P839" s="20">
        <f t="shared" ref="P839:T843" si="169">P840</f>
        <v>143920</v>
      </c>
      <c r="Q839" s="20"/>
      <c r="R839" s="20"/>
      <c r="S839" s="20"/>
      <c r="T839" s="20">
        <f t="shared" si="169"/>
        <v>143920</v>
      </c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F839" s="30"/>
      <c r="AG839" s="30"/>
      <c r="AH839" s="30"/>
      <c r="AI839" s="30"/>
      <c r="AJ839" s="30"/>
      <c r="AK839" s="30"/>
      <c r="AL839" s="30"/>
    </row>
    <row r="840" spans="1:38" s="44" customFormat="1" x14ac:dyDescent="0.25">
      <c r="A840" s="5"/>
      <c r="B840" s="4" t="s">
        <v>20</v>
      </c>
      <c r="C840" s="2" t="s">
        <v>355</v>
      </c>
      <c r="D840" s="11">
        <v>0</v>
      </c>
      <c r="E840" s="11" t="s">
        <v>356</v>
      </c>
      <c r="F840" s="11">
        <v>902</v>
      </c>
      <c r="G840" s="2"/>
      <c r="H840" s="21"/>
      <c r="I840" s="20"/>
      <c r="J840" s="20"/>
      <c r="K840" s="20"/>
      <c r="L840" s="20"/>
      <c r="M840" s="20"/>
      <c r="N840" s="20"/>
      <c r="O840" s="20"/>
      <c r="P840" s="20">
        <f t="shared" si="169"/>
        <v>143920</v>
      </c>
      <c r="Q840" s="20"/>
      <c r="R840" s="20"/>
      <c r="S840" s="20"/>
      <c r="T840" s="20">
        <f t="shared" si="169"/>
        <v>143920</v>
      </c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F840" s="30"/>
      <c r="AG840" s="30"/>
      <c r="AH840" s="30"/>
      <c r="AI840" s="30"/>
      <c r="AJ840" s="30"/>
      <c r="AK840" s="30"/>
      <c r="AL840" s="30"/>
    </row>
    <row r="841" spans="1:38" s="44" customFormat="1" ht="67.5" x14ac:dyDescent="0.25">
      <c r="A841" s="5"/>
      <c r="B841" s="5" t="s">
        <v>358</v>
      </c>
      <c r="C841" s="2" t="s">
        <v>355</v>
      </c>
      <c r="D841" s="11">
        <v>0</v>
      </c>
      <c r="E841" s="11" t="s">
        <v>356</v>
      </c>
      <c r="F841" s="11">
        <v>902</v>
      </c>
      <c r="G841" s="2" t="s">
        <v>357</v>
      </c>
      <c r="H841" s="21"/>
      <c r="I841" s="20"/>
      <c r="J841" s="20"/>
      <c r="K841" s="20"/>
      <c r="L841" s="20"/>
      <c r="M841" s="20"/>
      <c r="N841" s="20"/>
      <c r="O841" s="20"/>
      <c r="P841" s="20">
        <f t="shared" si="169"/>
        <v>143920</v>
      </c>
      <c r="Q841" s="20"/>
      <c r="R841" s="20"/>
      <c r="S841" s="20"/>
      <c r="T841" s="20">
        <f t="shared" si="169"/>
        <v>143920</v>
      </c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F841" s="30"/>
      <c r="AG841" s="30"/>
      <c r="AH841" s="30"/>
      <c r="AI841" s="30"/>
      <c r="AJ841" s="30"/>
      <c r="AK841" s="30"/>
      <c r="AL841" s="30"/>
    </row>
    <row r="842" spans="1:38" s="44" customFormat="1" ht="22.5" x14ac:dyDescent="0.25">
      <c r="A842" s="5"/>
      <c r="B842" s="5" t="s">
        <v>26</v>
      </c>
      <c r="C842" s="2" t="s">
        <v>355</v>
      </c>
      <c r="D842" s="11">
        <v>0</v>
      </c>
      <c r="E842" s="11" t="s">
        <v>356</v>
      </c>
      <c r="F842" s="11">
        <v>902</v>
      </c>
      <c r="G842" s="2" t="s">
        <v>357</v>
      </c>
      <c r="H842" s="21">
        <v>200</v>
      </c>
      <c r="I842" s="20"/>
      <c r="J842" s="20"/>
      <c r="K842" s="20"/>
      <c r="L842" s="20"/>
      <c r="M842" s="20"/>
      <c r="N842" s="20"/>
      <c r="O842" s="20"/>
      <c r="P842" s="20">
        <f t="shared" si="169"/>
        <v>143920</v>
      </c>
      <c r="Q842" s="20"/>
      <c r="R842" s="20"/>
      <c r="S842" s="20"/>
      <c r="T842" s="20">
        <f t="shared" si="169"/>
        <v>143920</v>
      </c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F842" s="30"/>
      <c r="AG842" s="30"/>
      <c r="AH842" s="30"/>
      <c r="AI842" s="30"/>
      <c r="AJ842" s="30"/>
      <c r="AK842" s="30"/>
      <c r="AL842" s="30"/>
    </row>
    <row r="843" spans="1:38" s="44" customFormat="1" ht="22.5" x14ac:dyDescent="0.25">
      <c r="A843" s="5"/>
      <c r="B843" s="5" t="s">
        <v>28</v>
      </c>
      <c r="C843" s="2" t="s">
        <v>355</v>
      </c>
      <c r="D843" s="11">
        <v>0</v>
      </c>
      <c r="E843" s="11" t="s">
        <v>356</v>
      </c>
      <c r="F843" s="11">
        <v>902</v>
      </c>
      <c r="G843" s="2" t="s">
        <v>357</v>
      </c>
      <c r="H843" s="21">
        <v>240</v>
      </c>
      <c r="I843" s="20"/>
      <c r="J843" s="20"/>
      <c r="K843" s="20"/>
      <c r="L843" s="20"/>
      <c r="M843" s="20"/>
      <c r="N843" s="20"/>
      <c r="O843" s="20"/>
      <c r="P843" s="20">
        <f t="shared" si="169"/>
        <v>143920</v>
      </c>
      <c r="Q843" s="20"/>
      <c r="R843" s="20"/>
      <c r="S843" s="20"/>
      <c r="T843" s="20">
        <f t="shared" si="169"/>
        <v>143920</v>
      </c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F843" s="30"/>
      <c r="AG843" s="30"/>
      <c r="AH843" s="30"/>
      <c r="AI843" s="30"/>
      <c r="AJ843" s="30"/>
      <c r="AK843" s="30"/>
      <c r="AL843" s="30"/>
    </row>
    <row r="844" spans="1:38" s="44" customFormat="1" ht="22.5" x14ac:dyDescent="0.25">
      <c r="A844" s="5"/>
      <c r="B844" s="5" t="s">
        <v>30</v>
      </c>
      <c r="C844" s="2" t="s">
        <v>355</v>
      </c>
      <c r="D844" s="11">
        <v>0</v>
      </c>
      <c r="E844" s="11" t="s">
        <v>356</v>
      </c>
      <c r="F844" s="11">
        <v>902</v>
      </c>
      <c r="G844" s="2" t="s">
        <v>357</v>
      </c>
      <c r="H844" s="21">
        <v>244</v>
      </c>
      <c r="I844" s="20"/>
      <c r="J844" s="20"/>
      <c r="K844" s="20"/>
      <c r="L844" s="20"/>
      <c r="M844" s="20"/>
      <c r="N844" s="20"/>
      <c r="O844" s="20"/>
      <c r="P844" s="20">
        <v>143920</v>
      </c>
      <c r="Q844" s="20"/>
      <c r="R844" s="20"/>
      <c r="S844" s="20"/>
      <c r="T844" s="20">
        <f>P844</f>
        <v>143920</v>
      </c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F844" s="30"/>
      <c r="AG844" s="30"/>
      <c r="AH844" s="30"/>
      <c r="AI844" s="30"/>
      <c r="AJ844" s="30"/>
      <c r="AK844" s="30"/>
      <c r="AL844" s="30"/>
    </row>
    <row r="845" spans="1:38" x14ac:dyDescent="0.25">
      <c r="A845" s="3" t="s">
        <v>300</v>
      </c>
      <c r="B845" s="3" t="s">
        <v>300</v>
      </c>
      <c r="C845" s="13">
        <v>99</v>
      </c>
      <c r="D845" s="13"/>
      <c r="E845" s="13"/>
      <c r="F845" s="13"/>
      <c r="G845" s="13"/>
      <c r="H845" s="14"/>
      <c r="I845" s="15">
        <f t="shared" ref="I845:T845" si="170">I846+I850+I861+I897</f>
        <v>11779742.859999999</v>
      </c>
      <c r="J845" s="15">
        <f t="shared" si="170"/>
        <v>-357896.57</v>
      </c>
      <c r="K845" s="15">
        <f t="shared" si="170"/>
        <v>-461562.5</v>
      </c>
      <c r="L845" s="15">
        <f t="shared" si="170"/>
        <v>-425741.9</v>
      </c>
      <c r="M845" s="15">
        <f t="shared" si="170"/>
        <v>917871.71</v>
      </c>
      <c r="N845" s="15">
        <f t="shared" si="170"/>
        <v>-314236</v>
      </c>
      <c r="O845" s="15">
        <f t="shared" ref="O845" si="171">O846+O850+O861+O897</f>
        <v>-462520.94999999995</v>
      </c>
      <c r="P845" s="15">
        <f t="shared" si="170"/>
        <v>-434720.28</v>
      </c>
      <c r="Q845" s="15"/>
      <c r="R845" s="15"/>
      <c r="S845" s="15"/>
      <c r="T845" s="15">
        <f t="shared" si="170"/>
        <v>10043316.370000001</v>
      </c>
      <c r="U845" s="15"/>
      <c r="V845" s="15"/>
      <c r="W845" s="15"/>
      <c r="X845" s="15"/>
      <c r="Y845" s="15">
        <f>Y846+Y850+Y861+Y897</f>
        <v>25292213.450000003</v>
      </c>
      <c r="Z845" s="15"/>
      <c r="AA845" s="15"/>
      <c r="AB845" s="15"/>
      <c r="AC845" s="15"/>
      <c r="AD845" s="15">
        <f>AD846+AD850+AD861+AD897</f>
        <v>40925912.939999998</v>
      </c>
    </row>
    <row r="846" spans="1:38" ht="32.25" customHeight="1" x14ac:dyDescent="0.25">
      <c r="A846" s="3"/>
      <c r="B846" s="4" t="s">
        <v>20</v>
      </c>
      <c r="C846" s="11">
        <v>99</v>
      </c>
      <c r="D846" s="11">
        <v>0</v>
      </c>
      <c r="E846" s="2" t="s">
        <v>301</v>
      </c>
      <c r="F846" s="11">
        <v>902</v>
      </c>
      <c r="G846" s="13"/>
      <c r="H846" s="14"/>
      <c r="I846" s="15">
        <f>I847</f>
        <v>0</v>
      </c>
      <c r="J846" s="15"/>
      <c r="K846" s="15"/>
      <c r="L846" s="15">
        <f t="shared" ref="L846:T848" si="172">L847</f>
        <v>0</v>
      </c>
      <c r="M846" s="15"/>
      <c r="N846" s="15"/>
      <c r="O846" s="15">
        <f t="shared" si="172"/>
        <v>260000</v>
      </c>
      <c r="P846" s="15"/>
      <c r="Q846" s="15"/>
      <c r="R846" s="15"/>
      <c r="S846" s="15"/>
      <c r="T846" s="15">
        <f t="shared" si="172"/>
        <v>260000</v>
      </c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8" ht="32.25" customHeight="1" x14ac:dyDescent="0.25">
      <c r="A847" s="3"/>
      <c r="B847" s="3" t="s">
        <v>302</v>
      </c>
      <c r="C847" s="11">
        <v>99</v>
      </c>
      <c r="D847" s="11">
        <v>0</v>
      </c>
      <c r="E847" s="2" t="s">
        <v>301</v>
      </c>
      <c r="F847" s="11">
        <v>902</v>
      </c>
      <c r="G847" s="11">
        <v>83030</v>
      </c>
      <c r="H847" s="14"/>
      <c r="I847" s="15">
        <f>I848</f>
        <v>0</v>
      </c>
      <c r="J847" s="15"/>
      <c r="K847" s="15"/>
      <c r="L847" s="15">
        <f t="shared" si="172"/>
        <v>0</v>
      </c>
      <c r="M847" s="15"/>
      <c r="N847" s="15"/>
      <c r="O847" s="15">
        <f t="shared" si="172"/>
        <v>260000</v>
      </c>
      <c r="P847" s="15"/>
      <c r="Q847" s="15"/>
      <c r="R847" s="15"/>
      <c r="S847" s="15"/>
      <c r="T847" s="15">
        <f t="shared" si="172"/>
        <v>260000</v>
      </c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8" ht="33.75" customHeight="1" x14ac:dyDescent="0.25">
      <c r="A848" s="3"/>
      <c r="B848" s="5" t="s">
        <v>40</v>
      </c>
      <c r="C848" s="11">
        <v>99</v>
      </c>
      <c r="D848" s="11">
        <v>0</v>
      </c>
      <c r="E848" s="2" t="s">
        <v>301</v>
      </c>
      <c r="F848" s="11">
        <v>902</v>
      </c>
      <c r="G848" s="11">
        <v>83030</v>
      </c>
      <c r="H848" s="21">
        <v>300</v>
      </c>
      <c r="I848" s="20">
        <f>I849</f>
        <v>0</v>
      </c>
      <c r="J848" s="20"/>
      <c r="K848" s="20"/>
      <c r="L848" s="20">
        <f t="shared" si="172"/>
        <v>0</v>
      </c>
      <c r="M848" s="20"/>
      <c r="N848" s="20"/>
      <c r="O848" s="20">
        <f t="shared" si="172"/>
        <v>260000</v>
      </c>
      <c r="P848" s="20"/>
      <c r="Q848" s="20"/>
      <c r="R848" s="20"/>
      <c r="S848" s="20"/>
      <c r="T848" s="20">
        <f t="shared" si="172"/>
        <v>260000</v>
      </c>
      <c r="U848" s="20"/>
      <c r="V848" s="20"/>
      <c r="W848" s="20"/>
      <c r="X848" s="20"/>
      <c r="Y848" s="15"/>
      <c r="Z848" s="15"/>
      <c r="AA848" s="15"/>
      <c r="AB848" s="15"/>
      <c r="AC848" s="15"/>
      <c r="AD848" s="15"/>
    </row>
    <row r="849" spans="1:37" x14ac:dyDescent="0.25">
      <c r="A849" s="3"/>
      <c r="B849" s="5" t="s">
        <v>303</v>
      </c>
      <c r="C849" s="11">
        <v>99</v>
      </c>
      <c r="D849" s="11">
        <v>0</v>
      </c>
      <c r="E849" s="2" t="s">
        <v>301</v>
      </c>
      <c r="F849" s="11">
        <v>902</v>
      </c>
      <c r="G849" s="11">
        <v>83030</v>
      </c>
      <c r="H849" s="21">
        <v>360</v>
      </c>
      <c r="I849" s="20">
        <v>0</v>
      </c>
      <c r="J849" s="20"/>
      <c r="K849" s="20"/>
      <c r="L849" s="20">
        <v>0</v>
      </c>
      <c r="M849" s="20"/>
      <c r="N849" s="20"/>
      <c r="O849" s="20">
        <v>260000</v>
      </c>
      <c r="P849" s="20"/>
      <c r="Q849" s="20"/>
      <c r="R849" s="20"/>
      <c r="S849" s="20"/>
      <c r="T849" s="20">
        <f>O849</f>
        <v>260000</v>
      </c>
      <c r="U849" s="20"/>
      <c r="V849" s="20"/>
      <c r="W849" s="20"/>
      <c r="X849" s="20"/>
      <c r="Y849" s="15"/>
      <c r="Z849" s="15"/>
      <c r="AA849" s="15"/>
      <c r="AB849" s="15"/>
      <c r="AC849" s="15"/>
      <c r="AD849" s="15"/>
    </row>
    <row r="850" spans="1:37" x14ac:dyDescent="0.25">
      <c r="A850" s="3"/>
      <c r="B850" s="3" t="s">
        <v>304</v>
      </c>
      <c r="C850" s="13">
        <v>99</v>
      </c>
      <c r="D850" s="13">
        <v>0</v>
      </c>
      <c r="E850" s="19" t="s">
        <v>301</v>
      </c>
      <c r="F850" s="13">
        <v>904</v>
      </c>
      <c r="G850" s="13"/>
      <c r="H850" s="14"/>
      <c r="I850" s="15">
        <f>I851+I855</f>
        <v>2145514.9899999998</v>
      </c>
      <c r="J850" s="15"/>
      <c r="K850" s="15"/>
      <c r="L850" s="15">
        <f>L851+L855</f>
        <v>-18537.87</v>
      </c>
      <c r="M850" s="15"/>
      <c r="N850" s="15"/>
      <c r="O850" s="15"/>
      <c r="P850" s="15"/>
      <c r="Q850" s="15"/>
      <c r="R850" s="15"/>
      <c r="S850" s="15"/>
      <c r="T850" s="15">
        <f>T851+T855</f>
        <v>2126977.12</v>
      </c>
      <c r="U850" s="15"/>
      <c r="V850" s="15"/>
      <c r="W850" s="15"/>
      <c r="X850" s="15"/>
      <c r="Y850" s="15">
        <f>Y851+Y855</f>
        <v>2210946.75</v>
      </c>
      <c r="Z850" s="15"/>
      <c r="AA850" s="15"/>
      <c r="AB850" s="15"/>
      <c r="AC850" s="15"/>
      <c r="AD850" s="15">
        <f>AD851+AD855</f>
        <v>2286321.21</v>
      </c>
    </row>
    <row r="851" spans="1:37" ht="21" x14ac:dyDescent="0.25">
      <c r="A851" s="3"/>
      <c r="B851" s="49" t="s">
        <v>56</v>
      </c>
      <c r="C851" s="13">
        <v>99</v>
      </c>
      <c r="D851" s="13">
        <v>0</v>
      </c>
      <c r="E851" s="19" t="s">
        <v>301</v>
      </c>
      <c r="F851" s="13">
        <v>904</v>
      </c>
      <c r="G851" s="13">
        <v>80040</v>
      </c>
      <c r="H851" s="18"/>
      <c r="I851" s="15">
        <f t="shared" ref="I851:AD853" si="173">I852</f>
        <v>186845.82</v>
      </c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15">
        <f t="shared" si="173"/>
        <v>186845.82</v>
      </c>
      <c r="U851" s="15"/>
      <c r="V851" s="15"/>
      <c r="W851" s="15"/>
      <c r="X851" s="15"/>
      <c r="Y851" s="15">
        <f t="shared" si="173"/>
        <v>187349.66</v>
      </c>
      <c r="Z851" s="15"/>
      <c r="AA851" s="15"/>
      <c r="AB851" s="15"/>
      <c r="AC851" s="15"/>
      <c r="AD851" s="15">
        <f t="shared" si="173"/>
        <v>187873.58</v>
      </c>
    </row>
    <row r="852" spans="1:37" ht="22.5" x14ac:dyDescent="0.25">
      <c r="A852" s="3"/>
      <c r="B852" s="5" t="s">
        <v>26</v>
      </c>
      <c r="C852" s="11">
        <v>99</v>
      </c>
      <c r="D852" s="11">
        <v>0</v>
      </c>
      <c r="E852" s="2" t="s">
        <v>301</v>
      </c>
      <c r="F852" s="11">
        <v>904</v>
      </c>
      <c r="G852" s="11">
        <v>80040</v>
      </c>
      <c r="H852" s="21" t="s">
        <v>27</v>
      </c>
      <c r="I852" s="20">
        <f t="shared" si="173"/>
        <v>186845.82</v>
      </c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>
        <f t="shared" si="173"/>
        <v>186845.82</v>
      </c>
      <c r="U852" s="20"/>
      <c r="V852" s="20"/>
      <c r="W852" s="20"/>
      <c r="X852" s="20"/>
      <c r="Y852" s="20">
        <f t="shared" si="173"/>
        <v>187349.66</v>
      </c>
      <c r="Z852" s="20"/>
      <c r="AA852" s="20"/>
      <c r="AB852" s="20"/>
      <c r="AC852" s="20"/>
      <c r="AD852" s="20">
        <f t="shared" si="173"/>
        <v>187873.58</v>
      </c>
      <c r="AI852" s="10">
        <v>244</v>
      </c>
    </row>
    <row r="853" spans="1:37" ht="22.5" x14ac:dyDescent="0.25">
      <c r="A853" s="3"/>
      <c r="B853" s="5" t="s">
        <v>28</v>
      </c>
      <c r="C853" s="11">
        <v>99</v>
      </c>
      <c r="D853" s="11">
        <v>0</v>
      </c>
      <c r="E853" s="2" t="s">
        <v>301</v>
      </c>
      <c r="F853" s="11">
        <v>904</v>
      </c>
      <c r="G853" s="11">
        <v>80040</v>
      </c>
      <c r="H853" s="21">
        <v>240</v>
      </c>
      <c r="I853" s="20">
        <f t="shared" si="173"/>
        <v>186845.82</v>
      </c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>
        <f t="shared" si="173"/>
        <v>186845.82</v>
      </c>
      <c r="U853" s="20"/>
      <c r="V853" s="20"/>
      <c r="W853" s="20"/>
      <c r="X853" s="20"/>
      <c r="Y853" s="20">
        <f t="shared" si="173"/>
        <v>187349.66</v>
      </c>
      <c r="Z853" s="20"/>
      <c r="AA853" s="20"/>
      <c r="AB853" s="20"/>
      <c r="AC853" s="20"/>
      <c r="AD853" s="20">
        <f t="shared" si="173"/>
        <v>187873.58</v>
      </c>
      <c r="AI853" s="10">
        <v>546841.9</v>
      </c>
      <c r="AJ853" s="10">
        <v>371481.9</v>
      </c>
      <c r="AK853" s="10">
        <v>2696555.62</v>
      </c>
    </row>
    <row r="854" spans="1:37" ht="22.5" x14ac:dyDescent="0.25">
      <c r="A854" s="3"/>
      <c r="B854" s="5" t="s">
        <v>30</v>
      </c>
      <c r="C854" s="11">
        <v>99</v>
      </c>
      <c r="D854" s="11">
        <v>0</v>
      </c>
      <c r="E854" s="2" t="s">
        <v>301</v>
      </c>
      <c r="F854" s="11">
        <v>904</v>
      </c>
      <c r="G854" s="11">
        <v>80040</v>
      </c>
      <c r="H854" s="21">
        <v>244</v>
      </c>
      <c r="I854" s="20">
        <v>186845.82</v>
      </c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>
        <v>186845.82</v>
      </c>
      <c r="U854" s="20"/>
      <c r="V854" s="20"/>
      <c r="W854" s="20"/>
      <c r="X854" s="20"/>
      <c r="Y854" s="20">
        <v>187349.66</v>
      </c>
      <c r="Z854" s="20"/>
      <c r="AA854" s="20"/>
      <c r="AB854" s="20"/>
      <c r="AC854" s="20"/>
      <c r="AD854" s="20">
        <v>187873.58</v>
      </c>
    </row>
    <row r="855" spans="1:37" ht="31.5" x14ac:dyDescent="0.25">
      <c r="A855" s="3"/>
      <c r="B855" s="49" t="s">
        <v>305</v>
      </c>
      <c r="C855" s="13">
        <v>99</v>
      </c>
      <c r="D855" s="13">
        <v>0</v>
      </c>
      <c r="E855" s="19" t="s">
        <v>301</v>
      </c>
      <c r="F855" s="13">
        <v>904</v>
      </c>
      <c r="G855" s="13">
        <v>80050</v>
      </c>
      <c r="H855" s="14"/>
      <c r="I855" s="15">
        <f t="shared" ref="I855:AD856" si="174">I856</f>
        <v>1958669.17</v>
      </c>
      <c r="J855" s="15"/>
      <c r="K855" s="15"/>
      <c r="L855" s="15">
        <f t="shared" si="174"/>
        <v>-18537.87</v>
      </c>
      <c r="M855" s="15"/>
      <c r="N855" s="15"/>
      <c r="O855" s="15"/>
      <c r="P855" s="15"/>
      <c r="Q855" s="15"/>
      <c r="R855" s="15"/>
      <c r="S855" s="15"/>
      <c r="T855" s="15">
        <f t="shared" si="174"/>
        <v>1940131.3</v>
      </c>
      <c r="U855" s="15"/>
      <c r="V855" s="15"/>
      <c r="W855" s="15"/>
      <c r="X855" s="15"/>
      <c r="Y855" s="15">
        <f t="shared" si="174"/>
        <v>2023597.09</v>
      </c>
      <c r="Z855" s="15"/>
      <c r="AA855" s="15"/>
      <c r="AB855" s="15"/>
      <c r="AC855" s="15"/>
      <c r="AD855" s="15">
        <f t="shared" si="174"/>
        <v>2098447.63</v>
      </c>
    </row>
    <row r="856" spans="1:37" ht="56.25" x14ac:dyDescent="0.25">
      <c r="A856" s="3"/>
      <c r="B856" s="5" t="s">
        <v>22</v>
      </c>
      <c r="C856" s="11">
        <v>99</v>
      </c>
      <c r="D856" s="11">
        <v>0</v>
      </c>
      <c r="E856" s="2" t="s">
        <v>301</v>
      </c>
      <c r="F856" s="11">
        <v>904</v>
      </c>
      <c r="G856" s="11">
        <v>80050</v>
      </c>
      <c r="H856" s="21">
        <v>100</v>
      </c>
      <c r="I856" s="20">
        <f t="shared" si="174"/>
        <v>1958669.17</v>
      </c>
      <c r="J856" s="20"/>
      <c r="K856" s="20"/>
      <c r="L856" s="20">
        <f t="shared" si="174"/>
        <v>-18537.87</v>
      </c>
      <c r="M856" s="20"/>
      <c r="N856" s="20"/>
      <c r="O856" s="20"/>
      <c r="P856" s="20"/>
      <c r="Q856" s="20"/>
      <c r="R856" s="20"/>
      <c r="S856" s="20"/>
      <c r="T856" s="20">
        <f t="shared" si="174"/>
        <v>1940131.3</v>
      </c>
      <c r="U856" s="20"/>
      <c r="V856" s="20"/>
      <c r="W856" s="20"/>
      <c r="X856" s="20"/>
      <c r="Y856" s="20">
        <f t="shared" si="174"/>
        <v>2023597.09</v>
      </c>
      <c r="Z856" s="20"/>
      <c r="AA856" s="20"/>
      <c r="AB856" s="20"/>
      <c r="AC856" s="20"/>
      <c r="AD856" s="20">
        <f t="shared" si="174"/>
        <v>2098447.63</v>
      </c>
    </row>
    <row r="857" spans="1:37" ht="22.5" x14ac:dyDescent="0.25">
      <c r="A857" s="3"/>
      <c r="B857" s="5" t="s">
        <v>23</v>
      </c>
      <c r="C857" s="11">
        <v>99</v>
      </c>
      <c r="D857" s="11">
        <v>0</v>
      </c>
      <c r="E857" s="2" t="s">
        <v>301</v>
      </c>
      <c r="F857" s="11">
        <v>904</v>
      </c>
      <c r="G857" s="11">
        <v>80050</v>
      </c>
      <c r="H857" s="21" t="s">
        <v>58</v>
      </c>
      <c r="I857" s="20">
        <f>I858+I859+I860</f>
        <v>1958669.17</v>
      </c>
      <c r="J857" s="20"/>
      <c r="K857" s="20"/>
      <c r="L857" s="20">
        <f>L858+L859+L860</f>
        <v>-18537.87</v>
      </c>
      <c r="M857" s="20"/>
      <c r="N857" s="20"/>
      <c r="O857" s="20"/>
      <c r="P857" s="20"/>
      <c r="Q857" s="20"/>
      <c r="R857" s="20"/>
      <c r="S857" s="20"/>
      <c r="T857" s="20">
        <f>T858+T859+T860</f>
        <v>1940131.3</v>
      </c>
      <c r="U857" s="20"/>
      <c r="V857" s="20"/>
      <c r="W857" s="20"/>
      <c r="X857" s="20"/>
      <c r="Y857" s="20">
        <f>Y858+Y859+Y860</f>
        <v>2023597.09</v>
      </c>
      <c r="Z857" s="20"/>
      <c r="AA857" s="20"/>
      <c r="AB857" s="20"/>
      <c r="AC857" s="20"/>
      <c r="AD857" s="20">
        <f>AD858+AD859+AD860</f>
        <v>2098447.63</v>
      </c>
    </row>
    <row r="858" spans="1:37" ht="22.5" x14ac:dyDescent="0.25">
      <c r="A858" s="3"/>
      <c r="B858" s="5" t="s">
        <v>44</v>
      </c>
      <c r="C858" s="11">
        <v>99</v>
      </c>
      <c r="D858" s="11">
        <v>0</v>
      </c>
      <c r="E858" s="2" t="s">
        <v>301</v>
      </c>
      <c r="F858" s="11">
        <v>904</v>
      </c>
      <c r="G858" s="11">
        <v>80050</v>
      </c>
      <c r="H858" s="21">
        <v>121</v>
      </c>
      <c r="I858" s="20">
        <v>1383921.53</v>
      </c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>
        <v>1383921.53</v>
      </c>
      <c r="U858" s="20"/>
      <c r="V858" s="20"/>
      <c r="W858" s="20"/>
      <c r="X858" s="20"/>
      <c r="Y858" s="20">
        <v>1437222.04</v>
      </c>
      <c r="Z858" s="20"/>
      <c r="AA858" s="20"/>
      <c r="AB858" s="20"/>
      <c r="AC858" s="20"/>
      <c r="AD858" s="20">
        <v>1494710.93</v>
      </c>
    </row>
    <row r="859" spans="1:37" ht="33.75" x14ac:dyDescent="0.25">
      <c r="A859" s="3"/>
      <c r="B859" s="5" t="s">
        <v>45</v>
      </c>
      <c r="C859" s="11">
        <v>99</v>
      </c>
      <c r="D859" s="11">
        <v>0</v>
      </c>
      <c r="E859" s="2" t="s">
        <v>301</v>
      </c>
      <c r="F859" s="11">
        <v>904</v>
      </c>
      <c r="G859" s="11">
        <v>80050</v>
      </c>
      <c r="H859" s="21">
        <v>122</v>
      </c>
      <c r="I859" s="20">
        <v>117000</v>
      </c>
      <c r="J859" s="20"/>
      <c r="K859" s="20"/>
      <c r="L859" s="20">
        <v>-14238</v>
      </c>
      <c r="M859" s="20"/>
      <c r="N859" s="20"/>
      <c r="O859" s="20"/>
      <c r="P859" s="20"/>
      <c r="Q859" s="20"/>
      <c r="R859" s="20"/>
      <c r="S859" s="20"/>
      <c r="T859" s="20">
        <f>117000+L859</f>
        <v>102762</v>
      </c>
      <c r="U859" s="20"/>
      <c r="V859" s="20"/>
      <c r="W859" s="20"/>
      <c r="X859" s="20"/>
      <c r="Y859" s="20">
        <v>117000</v>
      </c>
      <c r="Z859" s="20"/>
      <c r="AA859" s="20"/>
      <c r="AB859" s="20"/>
      <c r="AC859" s="20"/>
      <c r="AD859" s="20">
        <v>117000</v>
      </c>
    </row>
    <row r="860" spans="1:37" ht="33.75" x14ac:dyDescent="0.25">
      <c r="A860" s="3"/>
      <c r="B860" s="5" t="s">
        <v>25</v>
      </c>
      <c r="C860" s="11">
        <v>99</v>
      </c>
      <c r="D860" s="11">
        <v>0</v>
      </c>
      <c r="E860" s="2" t="s">
        <v>301</v>
      </c>
      <c r="F860" s="11">
        <v>904</v>
      </c>
      <c r="G860" s="11">
        <v>80050</v>
      </c>
      <c r="H860" s="21">
        <v>129</v>
      </c>
      <c r="I860" s="20">
        <v>457747.64</v>
      </c>
      <c r="J860" s="20"/>
      <c r="K860" s="20"/>
      <c r="L860" s="20">
        <v>-4299.87</v>
      </c>
      <c r="M860" s="20"/>
      <c r="N860" s="20"/>
      <c r="O860" s="20"/>
      <c r="P860" s="20"/>
      <c r="Q860" s="20"/>
      <c r="R860" s="20"/>
      <c r="S860" s="20"/>
      <c r="T860" s="20">
        <f>457747.64+L860</f>
        <v>453447.77</v>
      </c>
      <c r="U860" s="20"/>
      <c r="V860" s="20"/>
      <c r="W860" s="20"/>
      <c r="X860" s="20"/>
      <c r="Y860" s="20">
        <v>469375.05</v>
      </c>
      <c r="Z860" s="20"/>
      <c r="AA860" s="20"/>
      <c r="AB860" s="20"/>
      <c r="AC860" s="20"/>
      <c r="AD860" s="20">
        <v>486736.7</v>
      </c>
    </row>
    <row r="861" spans="1:37" x14ac:dyDescent="0.25">
      <c r="A861" s="3"/>
      <c r="B861" s="3" t="s">
        <v>114</v>
      </c>
      <c r="C861" s="13">
        <v>99</v>
      </c>
      <c r="D861" s="13">
        <v>0</v>
      </c>
      <c r="E861" s="19" t="s">
        <v>301</v>
      </c>
      <c r="F861" s="13">
        <v>905</v>
      </c>
      <c r="G861" s="13"/>
      <c r="H861" s="14"/>
      <c r="I861" s="15">
        <f>I862+I868+I881+I889+I893</f>
        <v>5634227.8699999992</v>
      </c>
      <c r="J861" s="15"/>
      <c r="K861" s="15"/>
      <c r="L861" s="15">
        <f>L862+L868+L881+L889+L893</f>
        <v>-49239.03</v>
      </c>
      <c r="M861" s="15"/>
      <c r="N861" s="15"/>
      <c r="O861" s="15"/>
      <c r="P861" s="15"/>
      <c r="Q861" s="15"/>
      <c r="R861" s="15"/>
      <c r="S861" s="15"/>
      <c r="T861" s="15">
        <f>T862+T868+T881+T889+T893</f>
        <v>5584988.8399999999</v>
      </c>
      <c r="U861" s="15"/>
      <c r="V861" s="15"/>
      <c r="W861" s="15"/>
      <c r="X861" s="15"/>
      <c r="Y861" s="15">
        <f>Y862+Y868+Y881+Y889+Y893</f>
        <v>5781266.7000000011</v>
      </c>
      <c r="Z861" s="15"/>
      <c r="AA861" s="15"/>
      <c r="AB861" s="15"/>
      <c r="AC861" s="15"/>
      <c r="AD861" s="15">
        <f>AD862+AD868+AD881+AD889+AD893</f>
        <v>5939591.7300000004</v>
      </c>
    </row>
    <row r="862" spans="1:37" ht="31.5" x14ac:dyDescent="0.25">
      <c r="A862" s="3"/>
      <c r="B862" s="49" t="s">
        <v>306</v>
      </c>
      <c r="C862" s="13">
        <v>99</v>
      </c>
      <c r="D862" s="13">
        <v>0</v>
      </c>
      <c r="E862" s="19" t="s">
        <v>301</v>
      </c>
      <c r="F862" s="13">
        <v>905</v>
      </c>
      <c r="G862" s="13">
        <v>80030</v>
      </c>
      <c r="H862" s="18" t="s">
        <v>33</v>
      </c>
      <c r="I862" s="15">
        <f t="shared" ref="I862:AD863" si="175">I863</f>
        <v>2053313.7799999998</v>
      </c>
      <c r="J862" s="22"/>
      <c r="K862" s="22"/>
      <c r="L862" s="15">
        <f t="shared" si="175"/>
        <v>-18537.87</v>
      </c>
      <c r="M862" s="15"/>
      <c r="N862" s="15"/>
      <c r="O862" s="15"/>
      <c r="P862" s="15"/>
      <c r="Q862" s="15"/>
      <c r="R862" s="15"/>
      <c r="S862" s="15"/>
      <c r="T862" s="15">
        <f t="shared" si="175"/>
        <v>2034775.91</v>
      </c>
      <c r="U862" s="15"/>
      <c r="V862" s="15"/>
      <c r="W862" s="15"/>
      <c r="X862" s="15"/>
      <c r="Y862" s="15">
        <f t="shared" si="175"/>
        <v>2126528.33</v>
      </c>
      <c r="Z862" s="15"/>
      <c r="AA862" s="15"/>
      <c r="AB862" s="15"/>
      <c r="AC862" s="15"/>
      <c r="AD862" s="15">
        <f t="shared" si="175"/>
        <v>2205496.09</v>
      </c>
      <c r="AI862" s="10">
        <v>612</v>
      </c>
    </row>
    <row r="863" spans="1:37" ht="56.25" x14ac:dyDescent="0.25">
      <c r="A863" s="3"/>
      <c r="B863" s="5" t="s">
        <v>22</v>
      </c>
      <c r="C863" s="11">
        <v>99</v>
      </c>
      <c r="D863" s="11">
        <v>0</v>
      </c>
      <c r="E863" s="2" t="s">
        <v>301</v>
      </c>
      <c r="F863" s="11">
        <v>905</v>
      </c>
      <c r="G863" s="11">
        <v>80030</v>
      </c>
      <c r="H863" s="21" t="s">
        <v>57</v>
      </c>
      <c r="I863" s="20">
        <f t="shared" si="175"/>
        <v>2053313.7799999998</v>
      </c>
      <c r="J863" s="20"/>
      <c r="K863" s="20"/>
      <c r="L863" s="20">
        <f t="shared" si="175"/>
        <v>-18537.87</v>
      </c>
      <c r="M863" s="20"/>
      <c r="N863" s="20"/>
      <c r="O863" s="20"/>
      <c r="P863" s="20"/>
      <c r="Q863" s="20"/>
      <c r="R863" s="20"/>
      <c r="S863" s="20"/>
      <c r="T863" s="20">
        <f t="shared" si="175"/>
        <v>2034775.91</v>
      </c>
      <c r="U863" s="20"/>
      <c r="V863" s="20"/>
      <c r="W863" s="20"/>
      <c r="X863" s="20"/>
      <c r="Y863" s="20">
        <f t="shared" si="175"/>
        <v>2126528.33</v>
      </c>
      <c r="Z863" s="20"/>
      <c r="AA863" s="20"/>
      <c r="AB863" s="20"/>
      <c r="AC863" s="20"/>
      <c r="AD863" s="20">
        <f t="shared" si="175"/>
        <v>2205496.09</v>
      </c>
      <c r="AI863" s="10">
        <v>42926.28</v>
      </c>
      <c r="AJ863" s="10">
        <v>42926.28</v>
      </c>
      <c r="AK863" s="10">
        <v>42926.28</v>
      </c>
    </row>
    <row r="864" spans="1:37" ht="22.5" x14ac:dyDescent="0.25">
      <c r="A864" s="3"/>
      <c r="B864" s="5" t="s">
        <v>23</v>
      </c>
      <c r="C864" s="11">
        <v>99</v>
      </c>
      <c r="D864" s="11">
        <v>0</v>
      </c>
      <c r="E864" s="2" t="s">
        <v>301</v>
      </c>
      <c r="F864" s="11">
        <v>905</v>
      </c>
      <c r="G864" s="11">
        <v>80030</v>
      </c>
      <c r="H864" s="21" t="s">
        <v>58</v>
      </c>
      <c r="I864" s="20">
        <f>I865+I866+I867</f>
        <v>2053313.7799999998</v>
      </c>
      <c r="J864" s="20"/>
      <c r="K864" s="20"/>
      <c r="L864" s="20">
        <f>L865+L866+L867</f>
        <v>-18537.87</v>
      </c>
      <c r="M864" s="20"/>
      <c r="N864" s="20"/>
      <c r="O864" s="20"/>
      <c r="P864" s="20"/>
      <c r="Q864" s="20"/>
      <c r="R864" s="20"/>
      <c r="S864" s="20"/>
      <c r="T864" s="20">
        <f>T865+T866+T867</f>
        <v>2034775.91</v>
      </c>
      <c r="U864" s="20"/>
      <c r="V864" s="20"/>
      <c r="W864" s="20"/>
      <c r="X864" s="20"/>
      <c r="Y864" s="20">
        <f>Y865+Y866+Y867</f>
        <v>2126528.33</v>
      </c>
      <c r="Z864" s="20"/>
      <c r="AA864" s="20"/>
      <c r="AB864" s="20"/>
      <c r="AC864" s="20"/>
      <c r="AD864" s="20">
        <f>AD865+AD866+AD867</f>
        <v>2205496.09</v>
      </c>
      <c r="AI864" s="10">
        <v>229400</v>
      </c>
      <c r="AJ864" s="10">
        <v>229400</v>
      </c>
      <c r="AK864" s="10">
        <v>229400</v>
      </c>
    </row>
    <row r="865" spans="1:38" ht="22.5" x14ac:dyDescent="0.25">
      <c r="A865" s="3"/>
      <c r="B865" s="5" t="s">
        <v>44</v>
      </c>
      <c r="C865" s="11">
        <v>99</v>
      </c>
      <c r="D865" s="11">
        <v>0</v>
      </c>
      <c r="E865" s="2" t="s">
        <v>301</v>
      </c>
      <c r="F865" s="11">
        <v>905</v>
      </c>
      <c r="G865" s="11">
        <v>80030</v>
      </c>
      <c r="H865" s="21">
        <v>121</v>
      </c>
      <c r="I865" s="20">
        <v>1460045.91</v>
      </c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>
        <v>1460045.91</v>
      </c>
      <c r="U865" s="20"/>
      <c r="V865" s="20"/>
      <c r="W865" s="20"/>
      <c r="X865" s="20"/>
      <c r="Y865" s="20">
        <v>1516278.29</v>
      </c>
      <c r="Z865" s="20"/>
      <c r="AA865" s="20"/>
      <c r="AB865" s="20"/>
      <c r="AC865" s="20"/>
      <c r="AD865" s="20">
        <v>1576929.41</v>
      </c>
      <c r="AI865" s="10">
        <v>129582.72</v>
      </c>
      <c r="AJ865" s="10">
        <v>97854.96</v>
      </c>
      <c r="AK865" s="10">
        <v>97854.96</v>
      </c>
    </row>
    <row r="866" spans="1:38" ht="33.75" x14ac:dyDescent="0.25">
      <c r="A866" s="3"/>
      <c r="B866" s="5" t="s">
        <v>45</v>
      </c>
      <c r="C866" s="11">
        <v>99</v>
      </c>
      <c r="D866" s="11">
        <v>0</v>
      </c>
      <c r="E866" s="2" t="s">
        <v>301</v>
      </c>
      <c r="F866" s="11">
        <v>905</v>
      </c>
      <c r="G866" s="11">
        <v>80030</v>
      </c>
      <c r="H866" s="21">
        <v>122</v>
      </c>
      <c r="I866" s="20">
        <v>117000</v>
      </c>
      <c r="J866" s="20"/>
      <c r="K866" s="20"/>
      <c r="L866" s="20">
        <v>-14238</v>
      </c>
      <c r="M866" s="20"/>
      <c r="N866" s="20"/>
      <c r="O866" s="20"/>
      <c r="P866" s="20"/>
      <c r="Q866" s="20"/>
      <c r="R866" s="20"/>
      <c r="S866" s="20"/>
      <c r="T866" s="20">
        <f>117000+L866</f>
        <v>102762</v>
      </c>
      <c r="U866" s="20"/>
      <c r="V866" s="20"/>
      <c r="W866" s="20"/>
      <c r="X866" s="20"/>
      <c r="Y866" s="20">
        <v>117000</v>
      </c>
      <c r="Z866" s="20"/>
      <c r="AA866" s="20"/>
      <c r="AB866" s="20"/>
      <c r="AC866" s="20"/>
      <c r="AD866" s="20">
        <v>117000</v>
      </c>
      <c r="AI866" s="10">
        <f>SUM(AI863:AI865)</f>
        <v>401909</v>
      </c>
      <c r="AJ866" s="10">
        <f>SUM(AJ863:AJ865)</f>
        <v>370181.24000000005</v>
      </c>
      <c r="AK866" s="10">
        <f>SUM(AK863:AK865)</f>
        <v>370181.24000000005</v>
      </c>
    </row>
    <row r="867" spans="1:38" ht="33.75" x14ac:dyDescent="0.25">
      <c r="A867" s="3"/>
      <c r="B867" s="5" t="s">
        <v>25</v>
      </c>
      <c r="C867" s="11">
        <v>99</v>
      </c>
      <c r="D867" s="11">
        <v>0</v>
      </c>
      <c r="E867" s="2" t="s">
        <v>301</v>
      </c>
      <c r="F867" s="11">
        <v>905</v>
      </c>
      <c r="G867" s="11">
        <v>80030</v>
      </c>
      <c r="H867" s="21">
        <v>129</v>
      </c>
      <c r="I867" s="20">
        <v>476267.87</v>
      </c>
      <c r="J867" s="20"/>
      <c r="K867" s="20"/>
      <c r="L867" s="20">
        <v>-4299.87</v>
      </c>
      <c r="M867" s="20"/>
      <c r="N867" s="20"/>
      <c r="O867" s="20"/>
      <c r="P867" s="20"/>
      <c r="Q867" s="20"/>
      <c r="R867" s="20"/>
      <c r="S867" s="20"/>
      <c r="T867" s="20">
        <f>476267.87+L867</f>
        <v>471968</v>
      </c>
      <c r="U867" s="20"/>
      <c r="V867" s="20"/>
      <c r="W867" s="20"/>
      <c r="X867" s="20"/>
      <c r="Y867" s="20">
        <v>493250.04</v>
      </c>
      <c r="Z867" s="20"/>
      <c r="AA867" s="20"/>
      <c r="AB867" s="20"/>
      <c r="AC867" s="20"/>
      <c r="AD867" s="20">
        <v>511566.68</v>
      </c>
    </row>
    <row r="868" spans="1:38" ht="41.25" customHeight="1" x14ac:dyDescent="0.25">
      <c r="A868" s="3" t="s">
        <v>56</v>
      </c>
      <c r="B868" s="49" t="s">
        <v>56</v>
      </c>
      <c r="C868" s="13">
        <v>99</v>
      </c>
      <c r="D868" s="13">
        <v>0</v>
      </c>
      <c r="E868" s="19" t="s">
        <v>301</v>
      </c>
      <c r="F868" s="13">
        <v>905</v>
      </c>
      <c r="G868" s="13">
        <v>80040</v>
      </c>
      <c r="H868" s="14"/>
      <c r="I868" s="15">
        <f>I869+I874+I877</f>
        <v>2643433.36</v>
      </c>
      <c r="J868" s="15"/>
      <c r="K868" s="15"/>
      <c r="L868" s="15">
        <f>L869+L874+L877</f>
        <v>-30701.16</v>
      </c>
      <c r="M868" s="15"/>
      <c r="N868" s="15"/>
      <c r="O868" s="15"/>
      <c r="P868" s="15"/>
      <c r="Q868" s="15"/>
      <c r="R868" s="15"/>
      <c r="S868" s="15"/>
      <c r="T868" s="15">
        <f>T869+T874+T877</f>
        <v>2612732.2000000002</v>
      </c>
      <c r="U868" s="15"/>
      <c r="V868" s="15"/>
      <c r="W868" s="15"/>
      <c r="X868" s="15"/>
      <c r="Y868" s="15">
        <f>Y869+Y874+Y877</f>
        <v>2717257.64</v>
      </c>
      <c r="Z868" s="15"/>
      <c r="AA868" s="15"/>
      <c r="AB868" s="15"/>
      <c r="AC868" s="15"/>
      <c r="AD868" s="15">
        <f>AD869+AD874+AD877</f>
        <v>2796614.91</v>
      </c>
    </row>
    <row r="869" spans="1:38" ht="86.25" customHeight="1" x14ac:dyDescent="0.25">
      <c r="A869" s="5" t="s">
        <v>22</v>
      </c>
      <c r="B869" s="5" t="s">
        <v>22</v>
      </c>
      <c r="C869" s="11">
        <v>99</v>
      </c>
      <c r="D869" s="11">
        <v>0</v>
      </c>
      <c r="E869" s="2" t="s">
        <v>301</v>
      </c>
      <c r="F869" s="11">
        <v>905</v>
      </c>
      <c r="G869" s="11">
        <v>80040</v>
      </c>
      <c r="H869" s="21" t="s">
        <v>57</v>
      </c>
      <c r="I869" s="20">
        <f>I870</f>
        <v>2062441.7999999998</v>
      </c>
      <c r="J869" s="20"/>
      <c r="K869" s="20"/>
      <c r="L869" s="20">
        <f>L870</f>
        <v>-30701.16</v>
      </c>
      <c r="M869" s="20"/>
      <c r="N869" s="20"/>
      <c r="O869" s="20"/>
      <c r="P869" s="20"/>
      <c r="Q869" s="20"/>
      <c r="R869" s="20"/>
      <c r="S869" s="20"/>
      <c r="T869" s="20">
        <f>T870</f>
        <v>2031740.64</v>
      </c>
      <c r="U869" s="20"/>
      <c r="V869" s="20"/>
      <c r="W869" s="20"/>
      <c r="X869" s="20"/>
      <c r="Y869" s="20">
        <f>Y870</f>
        <v>2136008.2000000002</v>
      </c>
      <c r="Z869" s="20"/>
      <c r="AA869" s="20"/>
      <c r="AB869" s="20"/>
      <c r="AC869" s="20"/>
      <c r="AD869" s="20">
        <f>AD870</f>
        <v>2215355.16</v>
      </c>
    </row>
    <row r="870" spans="1:38" ht="22.5" x14ac:dyDescent="0.25">
      <c r="A870" s="5" t="s">
        <v>23</v>
      </c>
      <c r="B870" s="5" t="s">
        <v>23</v>
      </c>
      <c r="C870" s="11">
        <v>99</v>
      </c>
      <c r="D870" s="11">
        <v>0</v>
      </c>
      <c r="E870" s="2" t="s">
        <v>301</v>
      </c>
      <c r="F870" s="11">
        <v>905</v>
      </c>
      <c r="G870" s="11">
        <v>80040</v>
      </c>
      <c r="H870" s="21" t="s">
        <v>58</v>
      </c>
      <c r="I870" s="20">
        <f>I871+I872+I873</f>
        <v>2062441.7999999998</v>
      </c>
      <c r="J870" s="20"/>
      <c r="K870" s="20"/>
      <c r="L870" s="20">
        <f>L871+L872+L873</f>
        <v>-30701.16</v>
      </c>
      <c r="M870" s="20"/>
      <c r="N870" s="20"/>
      <c r="O870" s="20"/>
      <c r="P870" s="20"/>
      <c r="Q870" s="20"/>
      <c r="R870" s="20"/>
      <c r="S870" s="20"/>
      <c r="T870" s="20">
        <f>T871+T872+T873</f>
        <v>2031740.64</v>
      </c>
      <c r="U870" s="20"/>
      <c r="V870" s="20"/>
      <c r="W870" s="20"/>
      <c r="X870" s="20"/>
      <c r="Y870" s="20">
        <f>Y871+Y872+Y873</f>
        <v>2136008.2000000002</v>
      </c>
      <c r="Z870" s="20"/>
      <c r="AA870" s="20"/>
      <c r="AB870" s="20"/>
      <c r="AC870" s="20"/>
      <c r="AD870" s="20">
        <f>AD871+AD872+AD873</f>
        <v>2215355.16</v>
      </c>
    </row>
    <row r="871" spans="1:38" s="44" customFormat="1" ht="22.5" x14ac:dyDescent="0.25">
      <c r="A871" s="5" t="s">
        <v>44</v>
      </c>
      <c r="B871" s="5" t="s">
        <v>44</v>
      </c>
      <c r="C871" s="11">
        <v>99</v>
      </c>
      <c r="D871" s="11">
        <v>0</v>
      </c>
      <c r="E871" s="2" t="s">
        <v>301</v>
      </c>
      <c r="F871" s="11">
        <v>905</v>
      </c>
      <c r="G871" s="11">
        <v>80040</v>
      </c>
      <c r="H871" s="21">
        <v>121</v>
      </c>
      <c r="I871" s="20">
        <v>1467056.89</v>
      </c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>
        <v>1467056.89</v>
      </c>
      <c r="U871" s="20"/>
      <c r="V871" s="20"/>
      <c r="W871" s="20"/>
      <c r="X871" s="20"/>
      <c r="Y871" s="20">
        <v>1523559.29</v>
      </c>
      <c r="Z871" s="20"/>
      <c r="AA871" s="20"/>
      <c r="AB871" s="20"/>
      <c r="AC871" s="20"/>
      <c r="AD871" s="20">
        <v>1584501.66</v>
      </c>
      <c r="AF871" s="30"/>
      <c r="AG871" s="30"/>
      <c r="AH871" s="30"/>
      <c r="AI871" s="30"/>
      <c r="AJ871" s="30"/>
      <c r="AK871" s="30"/>
      <c r="AL871" s="30"/>
    </row>
    <row r="872" spans="1:38" ht="33.75" x14ac:dyDescent="0.25">
      <c r="A872" s="5" t="s">
        <v>45</v>
      </c>
      <c r="B872" s="5" t="s">
        <v>45</v>
      </c>
      <c r="C872" s="11">
        <v>99</v>
      </c>
      <c r="D872" s="11">
        <v>0</v>
      </c>
      <c r="E872" s="2" t="s">
        <v>301</v>
      </c>
      <c r="F872" s="11">
        <v>905</v>
      </c>
      <c r="G872" s="11">
        <v>80040</v>
      </c>
      <c r="H872" s="21">
        <v>122</v>
      </c>
      <c r="I872" s="20">
        <v>117000</v>
      </c>
      <c r="J872" s="20"/>
      <c r="K872" s="20"/>
      <c r="L872" s="20">
        <v>-23580</v>
      </c>
      <c r="M872" s="20"/>
      <c r="N872" s="20"/>
      <c r="O872" s="20"/>
      <c r="P872" s="20"/>
      <c r="Q872" s="20"/>
      <c r="R872" s="20"/>
      <c r="S872" s="20"/>
      <c r="T872" s="20">
        <f>117000+L872</f>
        <v>93420</v>
      </c>
      <c r="U872" s="20"/>
      <c r="V872" s="20"/>
      <c r="W872" s="20"/>
      <c r="X872" s="20"/>
      <c r="Y872" s="20">
        <v>117000</v>
      </c>
      <c r="Z872" s="20"/>
      <c r="AA872" s="20"/>
      <c r="AB872" s="20"/>
      <c r="AC872" s="20"/>
      <c r="AD872" s="20">
        <v>117000</v>
      </c>
    </row>
    <row r="873" spans="1:38" ht="45" x14ac:dyDescent="0.25">
      <c r="A873" s="5" t="s">
        <v>25</v>
      </c>
      <c r="B873" s="5" t="s">
        <v>25</v>
      </c>
      <c r="C873" s="11">
        <v>99</v>
      </c>
      <c r="D873" s="11">
        <v>0</v>
      </c>
      <c r="E873" s="2" t="s">
        <v>301</v>
      </c>
      <c r="F873" s="11">
        <v>905</v>
      </c>
      <c r="G873" s="11">
        <v>80040</v>
      </c>
      <c r="H873" s="21">
        <v>129</v>
      </c>
      <c r="I873" s="20">
        <v>478384.91</v>
      </c>
      <c r="J873" s="20"/>
      <c r="K873" s="20"/>
      <c r="L873" s="20">
        <v>-7121.16</v>
      </c>
      <c r="M873" s="20"/>
      <c r="N873" s="20"/>
      <c r="O873" s="20"/>
      <c r="P873" s="20"/>
      <c r="Q873" s="20"/>
      <c r="R873" s="20"/>
      <c r="S873" s="20"/>
      <c r="T873" s="20">
        <f>478384.91+L873</f>
        <v>471263.75</v>
      </c>
      <c r="U873" s="20"/>
      <c r="V873" s="20"/>
      <c r="W873" s="20"/>
      <c r="X873" s="20"/>
      <c r="Y873" s="20">
        <v>495448.91</v>
      </c>
      <c r="Z873" s="20"/>
      <c r="AA873" s="20"/>
      <c r="AB873" s="20"/>
      <c r="AC873" s="20"/>
      <c r="AD873" s="20">
        <v>513853.5</v>
      </c>
    </row>
    <row r="874" spans="1:38" ht="22.5" x14ac:dyDescent="0.25">
      <c r="A874" s="5" t="s">
        <v>26</v>
      </c>
      <c r="B874" s="5" t="s">
        <v>26</v>
      </c>
      <c r="C874" s="11">
        <v>99</v>
      </c>
      <c r="D874" s="11">
        <v>0</v>
      </c>
      <c r="E874" s="2" t="s">
        <v>301</v>
      </c>
      <c r="F874" s="11">
        <v>905</v>
      </c>
      <c r="G874" s="11">
        <v>80040</v>
      </c>
      <c r="H874" s="21">
        <v>200</v>
      </c>
      <c r="I874" s="20">
        <f t="shared" ref="I874:AD875" si="176">I875</f>
        <v>580991.56000000006</v>
      </c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>
        <f t="shared" si="176"/>
        <v>580991.56000000006</v>
      </c>
      <c r="U874" s="20"/>
      <c r="V874" s="20"/>
      <c r="W874" s="20"/>
      <c r="X874" s="20"/>
      <c r="Y874" s="20">
        <f t="shared" si="176"/>
        <v>581249.43999999994</v>
      </c>
      <c r="Z874" s="20"/>
      <c r="AA874" s="20"/>
      <c r="AB874" s="20"/>
      <c r="AC874" s="20"/>
      <c r="AD874" s="20">
        <f t="shared" si="176"/>
        <v>581259.75</v>
      </c>
    </row>
    <row r="875" spans="1:38" ht="33.75" x14ac:dyDescent="0.25">
      <c r="A875" s="5" t="s">
        <v>28</v>
      </c>
      <c r="B875" s="5" t="s">
        <v>28</v>
      </c>
      <c r="C875" s="11">
        <v>99</v>
      </c>
      <c r="D875" s="11">
        <v>0</v>
      </c>
      <c r="E875" s="2" t="s">
        <v>301</v>
      </c>
      <c r="F875" s="11">
        <v>905</v>
      </c>
      <c r="G875" s="11">
        <v>80040</v>
      </c>
      <c r="H875" s="21">
        <v>240</v>
      </c>
      <c r="I875" s="20">
        <f t="shared" si="176"/>
        <v>580991.56000000006</v>
      </c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>
        <f t="shared" si="176"/>
        <v>580991.56000000006</v>
      </c>
      <c r="U875" s="20"/>
      <c r="V875" s="20"/>
      <c r="W875" s="20"/>
      <c r="X875" s="20"/>
      <c r="Y875" s="20">
        <f t="shared" si="176"/>
        <v>581249.43999999994</v>
      </c>
      <c r="Z875" s="20"/>
      <c r="AA875" s="20"/>
      <c r="AB875" s="20"/>
      <c r="AC875" s="20"/>
      <c r="AD875" s="20">
        <f t="shared" si="176"/>
        <v>581259.75</v>
      </c>
    </row>
    <row r="876" spans="1:38" ht="33.75" x14ac:dyDescent="0.25">
      <c r="A876" s="5" t="s">
        <v>30</v>
      </c>
      <c r="B876" s="5" t="s">
        <v>30</v>
      </c>
      <c r="C876" s="11">
        <v>99</v>
      </c>
      <c r="D876" s="11">
        <v>0</v>
      </c>
      <c r="E876" s="2" t="s">
        <v>301</v>
      </c>
      <c r="F876" s="11">
        <v>905</v>
      </c>
      <c r="G876" s="11">
        <v>80040</v>
      </c>
      <c r="H876" s="21">
        <v>244</v>
      </c>
      <c r="I876" s="20">
        <v>580991.56000000006</v>
      </c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>
        <v>580991.56000000006</v>
      </c>
      <c r="U876" s="20"/>
      <c r="V876" s="20"/>
      <c r="W876" s="20"/>
      <c r="X876" s="20"/>
      <c r="Y876" s="20">
        <v>581249.43999999994</v>
      </c>
      <c r="Z876" s="20"/>
      <c r="AA876" s="20"/>
      <c r="AB876" s="20"/>
      <c r="AC876" s="20"/>
      <c r="AD876" s="20">
        <v>581259.75</v>
      </c>
    </row>
    <row r="877" spans="1:38" hidden="1" x14ac:dyDescent="0.25">
      <c r="A877" s="5" t="s">
        <v>59</v>
      </c>
      <c r="B877" s="5" t="s">
        <v>59</v>
      </c>
      <c r="C877" s="11">
        <v>99</v>
      </c>
      <c r="D877" s="11">
        <v>0</v>
      </c>
      <c r="E877" s="2" t="s">
        <v>301</v>
      </c>
      <c r="F877" s="11">
        <v>905</v>
      </c>
      <c r="G877" s="11">
        <v>80040</v>
      </c>
      <c r="H877" s="21" t="s">
        <v>130</v>
      </c>
      <c r="I877" s="20">
        <f>I878</f>
        <v>0</v>
      </c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>
        <f>T878</f>
        <v>0</v>
      </c>
      <c r="U877" s="20"/>
      <c r="V877" s="20"/>
      <c r="W877" s="20"/>
      <c r="X877" s="20"/>
      <c r="Y877" s="20">
        <f>Y878</f>
        <v>0</v>
      </c>
      <c r="Z877" s="20"/>
      <c r="AA877" s="20"/>
      <c r="AB877" s="20"/>
      <c r="AC877" s="20"/>
      <c r="AD877" s="20">
        <f>AD878</f>
        <v>0</v>
      </c>
    </row>
    <row r="878" spans="1:38" ht="22.5" hidden="1" x14ac:dyDescent="0.25">
      <c r="A878" s="5" t="s">
        <v>62</v>
      </c>
      <c r="B878" s="5" t="s">
        <v>62</v>
      </c>
      <c r="C878" s="11">
        <v>99</v>
      </c>
      <c r="D878" s="11">
        <v>0</v>
      </c>
      <c r="E878" s="2" t="s">
        <v>301</v>
      </c>
      <c r="F878" s="11">
        <v>905</v>
      </c>
      <c r="G878" s="11">
        <v>80040</v>
      </c>
      <c r="H878" s="21">
        <v>850</v>
      </c>
      <c r="I878" s="20">
        <f>I879+I880</f>
        <v>0</v>
      </c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>
        <f>T879+T880</f>
        <v>0</v>
      </c>
      <c r="U878" s="20"/>
      <c r="V878" s="20"/>
      <c r="W878" s="20"/>
      <c r="X878" s="20"/>
      <c r="Y878" s="20">
        <f>Y879+Y880</f>
        <v>0</v>
      </c>
      <c r="Z878" s="20"/>
      <c r="AA878" s="20"/>
      <c r="AB878" s="20"/>
      <c r="AC878" s="20"/>
      <c r="AD878" s="20">
        <f>AD879+AD880</f>
        <v>0</v>
      </c>
    </row>
    <row r="879" spans="1:38" hidden="1" x14ac:dyDescent="0.25">
      <c r="A879" s="5" t="s">
        <v>133</v>
      </c>
      <c r="B879" s="5" t="s">
        <v>133</v>
      </c>
      <c r="C879" s="11">
        <v>99</v>
      </c>
      <c r="D879" s="11">
        <v>0</v>
      </c>
      <c r="E879" s="2" t="s">
        <v>301</v>
      </c>
      <c r="F879" s="11">
        <v>905</v>
      </c>
      <c r="G879" s="11">
        <v>80040</v>
      </c>
      <c r="H879" s="21" t="s">
        <v>134</v>
      </c>
      <c r="I879" s="20">
        <v>0</v>
      </c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>
        <v>0</v>
      </c>
      <c r="U879" s="20"/>
      <c r="V879" s="20"/>
      <c r="W879" s="20"/>
      <c r="X879" s="20"/>
      <c r="Y879" s="20">
        <v>0</v>
      </c>
      <c r="Z879" s="20"/>
      <c r="AA879" s="20"/>
      <c r="AB879" s="20"/>
      <c r="AC879" s="20"/>
      <c r="AD879" s="20">
        <v>0</v>
      </c>
    </row>
    <row r="880" spans="1:38" hidden="1" x14ac:dyDescent="0.25">
      <c r="A880" s="5" t="s">
        <v>63</v>
      </c>
      <c r="B880" s="5" t="s">
        <v>63</v>
      </c>
      <c r="C880" s="11">
        <v>99</v>
      </c>
      <c r="D880" s="11">
        <v>0</v>
      </c>
      <c r="E880" s="2" t="s">
        <v>301</v>
      </c>
      <c r="F880" s="11">
        <v>905</v>
      </c>
      <c r="G880" s="11">
        <v>80040</v>
      </c>
      <c r="H880" s="21">
        <v>853</v>
      </c>
      <c r="I880" s="20">
        <v>0</v>
      </c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>
        <v>0</v>
      </c>
      <c r="U880" s="20"/>
      <c r="V880" s="20"/>
      <c r="W880" s="20"/>
      <c r="X880" s="20"/>
      <c r="Y880" s="20">
        <v>0</v>
      </c>
      <c r="Z880" s="20"/>
      <c r="AA880" s="20"/>
      <c r="AB880" s="20"/>
      <c r="AC880" s="20"/>
      <c r="AD880" s="20">
        <v>0</v>
      </c>
    </row>
    <row r="881" spans="1:38" ht="42.75" customHeight="1" x14ac:dyDescent="0.25">
      <c r="A881" s="3" t="s">
        <v>67</v>
      </c>
      <c r="B881" s="49" t="s">
        <v>67</v>
      </c>
      <c r="C881" s="13">
        <v>99</v>
      </c>
      <c r="D881" s="13">
        <v>0</v>
      </c>
      <c r="E881" s="19" t="s">
        <v>301</v>
      </c>
      <c r="F881" s="13">
        <v>905</v>
      </c>
      <c r="G881" s="13">
        <v>80070</v>
      </c>
      <c r="H881" s="18"/>
      <c r="I881" s="15">
        <f t="shared" ref="I881:AD883" si="177">I882</f>
        <v>837480.73</v>
      </c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15">
        <f t="shared" si="177"/>
        <v>837480.73</v>
      </c>
      <c r="U881" s="15"/>
      <c r="V881" s="15"/>
      <c r="W881" s="15"/>
      <c r="X881" s="15"/>
      <c r="Y881" s="15">
        <f t="shared" si="177"/>
        <v>837480.73</v>
      </c>
      <c r="Z881" s="15"/>
      <c r="AA881" s="15"/>
      <c r="AB881" s="15"/>
      <c r="AC881" s="15"/>
      <c r="AD881" s="15">
        <f t="shared" si="177"/>
        <v>837480.73</v>
      </c>
    </row>
    <row r="882" spans="1:38" ht="22.5" x14ac:dyDescent="0.25">
      <c r="A882" s="5" t="s">
        <v>26</v>
      </c>
      <c r="B882" s="5" t="s">
        <v>26</v>
      </c>
      <c r="C882" s="11">
        <v>99</v>
      </c>
      <c r="D882" s="11">
        <v>0</v>
      </c>
      <c r="E882" s="2" t="s">
        <v>301</v>
      </c>
      <c r="F882" s="11">
        <v>905</v>
      </c>
      <c r="G882" s="11">
        <v>80070</v>
      </c>
      <c r="H882" s="21">
        <v>200</v>
      </c>
      <c r="I882" s="20">
        <f t="shared" si="177"/>
        <v>837480.73</v>
      </c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>
        <f t="shared" si="177"/>
        <v>837480.73</v>
      </c>
      <c r="U882" s="20"/>
      <c r="V882" s="20"/>
      <c r="W882" s="20"/>
      <c r="X882" s="20"/>
      <c r="Y882" s="20">
        <f t="shared" si="177"/>
        <v>837480.73</v>
      </c>
      <c r="Z882" s="20"/>
      <c r="AA882" s="20"/>
      <c r="AB882" s="20"/>
      <c r="AC882" s="20"/>
      <c r="AD882" s="20">
        <f t="shared" si="177"/>
        <v>837480.73</v>
      </c>
    </row>
    <row r="883" spans="1:38" ht="33.75" x14ac:dyDescent="0.25">
      <c r="A883" s="5" t="s">
        <v>28</v>
      </c>
      <c r="B883" s="5" t="s">
        <v>28</v>
      </c>
      <c r="C883" s="11">
        <v>99</v>
      </c>
      <c r="D883" s="11">
        <v>0</v>
      </c>
      <c r="E883" s="2" t="s">
        <v>301</v>
      </c>
      <c r="F883" s="11">
        <v>905</v>
      </c>
      <c r="G883" s="11">
        <v>80070</v>
      </c>
      <c r="H883" s="21">
        <v>240</v>
      </c>
      <c r="I883" s="20">
        <f t="shared" si="177"/>
        <v>837480.73</v>
      </c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>
        <f t="shared" si="177"/>
        <v>837480.73</v>
      </c>
      <c r="U883" s="20"/>
      <c r="V883" s="20"/>
      <c r="W883" s="20"/>
      <c r="X883" s="20"/>
      <c r="Y883" s="20">
        <f t="shared" si="177"/>
        <v>837480.73</v>
      </c>
      <c r="Z883" s="20"/>
      <c r="AA883" s="20"/>
      <c r="AB883" s="20"/>
      <c r="AC883" s="20"/>
      <c r="AD883" s="20">
        <f t="shared" si="177"/>
        <v>837480.73</v>
      </c>
    </row>
    <row r="884" spans="1:38" s="44" customFormat="1" ht="46.5" customHeight="1" x14ac:dyDescent="0.25">
      <c r="A884" s="5" t="s">
        <v>30</v>
      </c>
      <c r="B884" s="5" t="s">
        <v>30</v>
      </c>
      <c r="C884" s="11">
        <v>99</v>
      </c>
      <c r="D884" s="11">
        <v>0</v>
      </c>
      <c r="E884" s="2" t="s">
        <v>301</v>
      </c>
      <c r="F884" s="11">
        <v>905</v>
      </c>
      <c r="G884" s="11">
        <v>80070</v>
      </c>
      <c r="H884" s="21">
        <v>244</v>
      </c>
      <c r="I884" s="20">
        <v>837480.73</v>
      </c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>
        <v>837480.73</v>
      </c>
      <c r="U884" s="20"/>
      <c r="V884" s="20"/>
      <c r="W884" s="20"/>
      <c r="X884" s="20"/>
      <c r="Y884" s="20">
        <v>837480.73</v>
      </c>
      <c r="Z884" s="20"/>
      <c r="AA884" s="20"/>
      <c r="AB884" s="20"/>
      <c r="AC884" s="20"/>
      <c r="AD884" s="20">
        <v>837480.73</v>
      </c>
      <c r="AF884" s="30"/>
      <c r="AG884" s="30"/>
      <c r="AH884" s="30"/>
      <c r="AI884" s="30"/>
      <c r="AJ884" s="30"/>
      <c r="AK884" s="30"/>
      <c r="AL884" s="30"/>
    </row>
    <row r="885" spans="1:38" ht="27" hidden="1" customHeight="1" x14ac:dyDescent="0.25">
      <c r="A885" s="5"/>
      <c r="B885" s="3" t="s">
        <v>127</v>
      </c>
      <c r="C885" s="13">
        <v>99</v>
      </c>
      <c r="D885" s="13">
        <v>0</v>
      </c>
      <c r="E885" s="19" t="s">
        <v>301</v>
      </c>
      <c r="F885" s="13">
        <v>905</v>
      </c>
      <c r="G885" s="13">
        <v>83360</v>
      </c>
      <c r="H885" s="14"/>
      <c r="I885" s="15">
        <f t="shared" ref="I885:AD887" si="178">I886</f>
        <v>0</v>
      </c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>
        <f t="shared" si="178"/>
        <v>0</v>
      </c>
      <c r="U885" s="15"/>
      <c r="V885" s="15"/>
      <c r="W885" s="15"/>
      <c r="X885" s="15"/>
      <c r="Y885" s="15">
        <f t="shared" si="178"/>
        <v>0</v>
      </c>
      <c r="Z885" s="15"/>
      <c r="AA885" s="15"/>
      <c r="AB885" s="15"/>
      <c r="AC885" s="15"/>
      <c r="AD885" s="15">
        <f t="shared" si="178"/>
        <v>0</v>
      </c>
    </row>
    <row r="886" spans="1:38" hidden="1" x14ac:dyDescent="0.25">
      <c r="A886" s="5"/>
      <c r="B886" s="5" t="s">
        <v>59</v>
      </c>
      <c r="C886" s="11">
        <v>99</v>
      </c>
      <c r="D886" s="11">
        <v>0</v>
      </c>
      <c r="E886" s="2" t="s">
        <v>301</v>
      </c>
      <c r="F886" s="11">
        <v>905</v>
      </c>
      <c r="G886" s="11">
        <v>83360</v>
      </c>
      <c r="H886" s="21" t="s">
        <v>130</v>
      </c>
      <c r="I886" s="20">
        <f t="shared" si="178"/>
        <v>0</v>
      </c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>
        <f t="shared" si="178"/>
        <v>0</v>
      </c>
      <c r="U886" s="20"/>
      <c r="V886" s="20"/>
      <c r="W886" s="20"/>
      <c r="X886" s="20"/>
      <c r="Y886" s="20">
        <f t="shared" si="178"/>
        <v>0</v>
      </c>
      <c r="Z886" s="20"/>
      <c r="AA886" s="20"/>
      <c r="AB886" s="20"/>
      <c r="AC886" s="20"/>
      <c r="AD886" s="20">
        <f t="shared" si="178"/>
        <v>0</v>
      </c>
    </row>
    <row r="887" spans="1:38" ht="22.5" hidden="1" x14ac:dyDescent="0.25">
      <c r="A887" s="5"/>
      <c r="B887" s="5" t="s">
        <v>62</v>
      </c>
      <c r="C887" s="11">
        <v>99</v>
      </c>
      <c r="D887" s="11">
        <v>0</v>
      </c>
      <c r="E887" s="2" t="s">
        <v>301</v>
      </c>
      <c r="F887" s="11">
        <v>905</v>
      </c>
      <c r="G887" s="11">
        <v>83360</v>
      </c>
      <c r="H887" s="21">
        <v>850</v>
      </c>
      <c r="I887" s="20">
        <f t="shared" si="178"/>
        <v>0</v>
      </c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>
        <f t="shared" si="178"/>
        <v>0</v>
      </c>
      <c r="U887" s="20"/>
      <c r="V887" s="20"/>
      <c r="W887" s="20"/>
      <c r="X887" s="20"/>
      <c r="Y887" s="20">
        <f t="shared" si="178"/>
        <v>0</v>
      </c>
      <c r="Z887" s="20"/>
      <c r="AA887" s="20"/>
      <c r="AB887" s="20"/>
      <c r="AC887" s="20"/>
      <c r="AD887" s="20">
        <f t="shared" si="178"/>
        <v>0</v>
      </c>
    </row>
    <row r="888" spans="1:38" hidden="1" x14ac:dyDescent="0.25">
      <c r="A888" s="5"/>
      <c r="B888" s="5" t="s">
        <v>133</v>
      </c>
      <c r="C888" s="11">
        <v>99</v>
      </c>
      <c r="D888" s="11">
        <v>0</v>
      </c>
      <c r="E888" s="2" t="s">
        <v>301</v>
      </c>
      <c r="F888" s="11">
        <v>905</v>
      </c>
      <c r="G888" s="11">
        <v>83360</v>
      </c>
      <c r="H888" s="21" t="s">
        <v>134</v>
      </c>
      <c r="I888" s="20">
        <v>0</v>
      </c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>
        <v>0</v>
      </c>
      <c r="U888" s="20"/>
      <c r="V888" s="20"/>
      <c r="W888" s="20"/>
      <c r="X888" s="20"/>
      <c r="Y888" s="20">
        <v>0</v>
      </c>
      <c r="Z888" s="20"/>
      <c r="AA888" s="20"/>
      <c r="AB888" s="20"/>
      <c r="AC888" s="20"/>
      <c r="AD888" s="20">
        <v>0</v>
      </c>
    </row>
    <row r="889" spans="1:38" ht="49.5" customHeight="1" x14ac:dyDescent="0.25">
      <c r="A889" s="5"/>
      <c r="B889" s="3" t="s">
        <v>307</v>
      </c>
      <c r="C889" s="13">
        <v>99</v>
      </c>
      <c r="D889" s="13">
        <v>0</v>
      </c>
      <c r="E889" s="19" t="s">
        <v>301</v>
      </c>
      <c r="F889" s="13">
        <v>905</v>
      </c>
      <c r="G889" s="13">
        <v>82580</v>
      </c>
      <c r="H889" s="14"/>
      <c r="I889" s="15">
        <f t="shared" ref="I889:AD891" si="179">I890</f>
        <v>100000</v>
      </c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>
        <f t="shared" si="179"/>
        <v>100000</v>
      </c>
      <c r="U889" s="15"/>
      <c r="V889" s="15"/>
      <c r="W889" s="15"/>
      <c r="X889" s="15"/>
      <c r="Y889" s="15">
        <f t="shared" si="179"/>
        <v>100000</v>
      </c>
      <c r="Z889" s="15"/>
      <c r="AA889" s="15"/>
      <c r="AB889" s="15"/>
      <c r="AC889" s="15"/>
      <c r="AD889" s="15">
        <f t="shared" si="179"/>
        <v>100000</v>
      </c>
    </row>
    <row r="890" spans="1:38" x14ac:dyDescent="0.25">
      <c r="A890" s="5"/>
      <c r="B890" s="5" t="s">
        <v>40</v>
      </c>
      <c r="C890" s="11">
        <v>99</v>
      </c>
      <c r="D890" s="11">
        <v>0</v>
      </c>
      <c r="E890" s="2" t="s">
        <v>301</v>
      </c>
      <c r="F890" s="11">
        <v>905</v>
      </c>
      <c r="G890" s="11">
        <v>82580</v>
      </c>
      <c r="H890" s="21">
        <v>300</v>
      </c>
      <c r="I890" s="20">
        <f t="shared" si="179"/>
        <v>100000</v>
      </c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>
        <f t="shared" si="179"/>
        <v>100000</v>
      </c>
      <c r="U890" s="20"/>
      <c r="V890" s="20"/>
      <c r="W890" s="20"/>
      <c r="X890" s="20"/>
      <c r="Y890" s="20">
        <f t="shared" si="179"/>
        <v>100000</v>
      </c>
      <c r="Z890" s="20"/>
      <c r="AA890" s="20"/>
      <c r="AB890" s="20"/>
      <c r="AC890" s="20"/>
      <c r="AD890" s="20">
        <f t="shared" si="179"/>
        <v>100000</v>
      </c>
    </row>
    <row r="891" spans="1:38" x14ac:dyDescent="0.25">
      <c r="A891" s="5"/>
      <c r="B891" s="5" t="s">
        <v>48</v>
      </c>
      <c r="C891" s="11">
        <v>99</v>
      </c>
      <c r="D891" s="11">
        <v>0</v>
      </c>
      <c r="E891" s="2" t="s">
        <v>301</v>
      </c>
      <c r="F891" s="11">
        <v>905</v>
      </c>
      <c r="G891" s="11">
        <v>82580</v>
      </c>
      <c r="H891" s="21">
        <v>310</v>
      </c>
      <c r="I891" s="20">
        <f t="shared" si="179"/>
        <v>100000</v>
      </c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>
        <f t="shared" si="179"/>
        <v>100000</v>
      </c>
      <c r="U891" s="20"/>
      <c r="V891" s="20"/>
      <c r="W891" s="20"/>
      <c r="X891" s="20"/>
      <c r="Y891" s="20">
        <f t="shared" si="179"/>
        <v>100000</v>
      </c>
      <c r="Z891" s="20"/>
      <c r="AA891" s="20"/>
      <c r="AB891" s="20"/>
      <c r="AC891" s="20"/>
      <c r="AD891" s="20">
        <f t="shared" si="179"/>
        <v>100000</v>
      </c>
    </row>
    <row r="892" spans="1:38" ht="22.5" x14ac:dyDescent="0.25">
      <c r="A892" s="5"/>
      <c r="B892" s="5" t="s">
        <v>49</v>
      </c>
      <c r="C892" s="11">
        <v>99</v>
      </c>
      <c r="D892" s="11">
        <v>0</v>
      </c>
      <c r="E892" s="2" t="s">
        <v>301</v>
      </c>
      <c r="F892" s="11">
        <v>905</v>
      </c>
      <c r="G892" s="11">
        <v>82580</v>
      </c>
      <c r="H892" s="21">
        <v>313</v>
      </c>
      <c r="I892" s="20">
        <v>100000</v>
      </c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>
        <v>100000</v>
      </c>
      <c r="U892" s="20"/>
      <c r="V892" s="20"/>
      <c r="W892" s="20"/>
      <c r="X892" s="20"/>
      <c r="Y892" s="20">
        <v>100000</v>
      </c>
      <c r="Z892" s="20"/>
      <c r="AA892" s="20"/>
      <c r="AB892" s="20"/>
      <c r="AC892" s="20"/>
      <c r="AD892" s="20">
        <v>100000</v>
      </c>
    </row>
    <row r="893" spans="1:38" ht="42" hidden="1" x14ac:dyDescent="0.25">
      <c r="A893" s="5"/>
      <c r="B893" s="38" t="s">
        <v>124</v>
      </c>
      <c r="C893" s="13">
        <v>99</v>
      </c>
      <c r="D893" s="13">
        <v>0</v>
      </c>
      <c r="E893" s="19" t="s">
        <v>301</v>
      </c>
      <c r="F893" s="13">
        <v>905</v>
      </c>
      <c r="G893" s="13">
        <v>83270</v>
      </c>
      <c r="H893" s="14"/>
      <c r="I893" s="15">
        <f>I894</f>
        <v>0</v>
      </c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>
        <f>T894</f>
        <v>0</v>
      </c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8" hidden="1" x14ac:dyDescent="0.25">
      <c r="A894" s="5"/>
      <c r="B894" s="5" t="s">
        <v>59</v>
      </c>
      <c r="C894" s="11">
        <v>99</v>
      </c>
      <c r="D894" s="11">
        <v>0</v>
      </c>
      <c r="E894" s="2" t="s">
        <v>301</v>
      </c>
      <c r="F894" s="11">
        <v>905</v>
      </c>
      <c r="G894" s="11">
        <v>83270</v>
      </c>
      <c r="H894" s="21">
        <v>800</v>
      </c>
      <c r="I894" s="20">
        <f>I895</f>
        <v>0</v>
      </c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>
        <f>T895</f>
        <v>0</v>
      </c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</row>
    <row r="895" spans="1:38" hidden="1" x14ac:dyDescent="0.25">
      <c r="A895" s="5"/>
      <c r="B895" s="5" t="s">
        <v>60</v>
      </c>
      <c r="C895" s="11">
        <v>99</v>
      </c>
      <c r="D895" s="11">
        <v>0</v>
      </c>
      <c r="E895" s="2" t="s">
        <v>301</v>
      </c>
      <c r="F895" s="11">
        <v>905</v>
      </c>
      <c r="G895" s="11">
        <v>83270</v>
      </c>
      <c r="H895" s="21">
        <v>830</v>
      </c>
      <c r="I895" s="20">
        <f>I896</f>
        <v>0</v>
      </c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>
        <f>T896</f>
        <v>0</v>
      </c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</row>
    <row r="896" spans="1:38" ht="45" hidden="1" x14ac:dyDescent="0.25">
      <c r="A896" s="5"/>
      <c r="B896" s="5" t="s">
        <v>101</v>
      </c>
      <c r="C896" s="11">
        <v>99</v>
      </c>
      <c r="D896" s="11">
        <v>0</v>
      </c>
      <c r="E896" s="2" t="s">
        <v>301</v>
      </c>
      <c r="F896" s="11">
        <v>905</v>
      </c>
      <c r="G896" s="11">
        <v>83270</v>
      </c>
      <c r="H896" s="21">
        <v>831</v>
      </c>
      <c r="I896" s="20">
        <v>0</v>
      </c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>
        <v>0</v>
      </c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</row>
    <row r="897" spans="1:38" ht="36.75" customHeight="1" x14ac:dyDescent="0.15">
      <c r="A897" s="53" t="s">
        <v>20</v>
      </c>
      <c r="B897" s="3" t="s">
        <v>115</v>
      </c>
      <c r="C897" s="13">
        <v>99</v>
      </c>
      <c r="D897" s="13">
        <v>0</v>
      </c>
      <c r="E897" s="19" t="s">
        <v>301</v>
      </c>
      <c r="F897" s="13">
        <v>961</v>
      </c>
      <c r="G897" s="13"/>
      <c r="H897" s="14"/>
      <c r="I897" s="15">
        <f t="shared" ref="I897:T897" si="180">I901</f>
        <v>4000000</v>
      </c>
      <c r="J897" s="15">
        <f t="shared" si="180"/>
        <v>-357896.57</v>
      </c>
      <c r="K897" s="15">
        <f t="shared" si="180"/>
        <v>-461562.5</v>
      </c>
      <c r="L897" s="15">
        <f t="shared" si="180"/>
        <v>-357965</v>
      </c>
      <c r="M897" s="15">
        <f t="shared" si="180"/>
        <v>917871.71</v>
      </c>
      <c r="N897" s="15">
        <f t="shared" si="180"/>
        <v>-314236</v>
      </c>
      <c r="O897" s="15">
        <f t="shared" si="180"/>
        <v>-722520.95</v>
      </c>
      <c r="P897" s="15">
        <f t="shared" si="180"/>
        <v>-434720.28</v>
      </c>
      <c r="Q897" s="15"/>
      <c r="R897" s="15"/>
      <c r="S897" s="15"/>
      <c r="T897" s="15">
        <f t="shared" si="180"/>
        <v>2071350.4100000001</v>
      </c>
      <c r="U897" s="15"/>
      <c r="V897" s="15"/>
      <c r="W897" s="15"/>
      <c r="X897" s="15"/>
      <c r="Y897" s="15">
        <f>Y898+Y901</f>
        <v>17300000</v>
      </c>
      <c r="Z897" s="15"/>
      <c r="AA897" s="15"/>
      <c r="AB897" s="15"/>
      <c r="AC897" s="15"/>
      <c r="AD897" s="15">
        <f>AD898+AD901</f>
        <v>32700000</v>
      </c>
    </row>
    <row r="898" spans="1:38" x14ac:dyDescent="0.15">
      <c r="A898" s="53"/>
      <c r="B898" s="3" t="s">
        <v>308</v>
      </c>
      <c r="C898" s="13">
        <v>99</v>
      </c>
      <c r="D898" s="13">
        <v>0</v>
      </c>
      <c r="E898" s="19" t="s">
        <v>301</v>
      </c>
      <c r="F898" s="13">
        <v>961</v>
      </c>
      <c r="G898" s="13">
        <v>80080</v>
      </c>
      <c r="H898" s="14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>
        <f>Y899</f>
        <v>13300000</v>
      </c>
      <c r="Z898" s="15"/>
      <c r="AA898" s="15"/>
      <c r="AB898" s="15"/>
      <c r="AC898" s="15"/>
      <c r="AD898" s="15">
        <f>AD899</f>
        <v>28700000</v>
      </c>
    </row>
    <row r="899" spans="1:38" x14ac:dyDescent="0.15">
      <c r="A899" s="53"/>
      <c r="B899" s="5" t="s">
        <v>59</v>
      </c>
      <c r="C899" s="11">
        <v>99</v>
      </c>
      <c r="D899" s="11">
        <v>0</v>
      </c>
      <c r="E899" s="2" t="s">
        <v>301</v>
      </c>
      <c r="F899" s="11">
        <v>961</v>
      </c>
      <c r="G899" s="11">
        <v>80080</v>
      </c>
      <c r="H899" s="21">
        <v>800</v>
      </c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>
        <f>Y900</f>
        <v>13300000</v>
      </c>
      <c r="Z899" s="20"/>
      <c r="AA899" s="20"/>
      <c r="AB899" s="20"/>
      <c r="AC899" s="20"/>
      <c r="AD899" s="20">
        <f>AD900</f>
        <v>28700000</v>
      </c>
    </row>
    <row r="900" spans="1:38" x14ac:dyDescent="0.15">
      <c r="A900" s="53"/>
      <c r="B900" s="5" t="s">
        <v>309</v>
      </c>
      <c r="C900" s="11">
        <v>99</v>
      </c>
      <c r="D900" s="11">
        <v>0</v>
      </c>
      <c r="E900" s="2" t="s">
        <v>301</v>
      </c>
      <c r="F900" s="11">
        <v>961</v>
      </c>
      <c r="G900" s="11">
        <v>80080</v>
      </c>
      <c r="H900" s="21">
        <v>870</v>
      </c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>
        <v>13300000</v>
      </c>
      <c r="Z900" s="20"/>
      <c r="AA900" s="20"/>
      <c r="AB900" s="20"/>
      <c r="AC900" s="20"/>
      <c r="AD900" s="20">
        <v>28700000</v>
      </c>
    </row>
    <row r="901" spans="1:38" ht="30" customHeight="1" x14ac:dyDescent="0.25">
      <c r="A901" s="3" t="s">
        <v>310</v>
      </c>
      <c r="B901" s="49" t="s">
        <v>302</v>
      </c>
      <c r="C901" s="13">
        <v>99</v>
      </c>
      <c r="D901" s="13">
        <v>0</v>
      </c>
      <c r="E901" s="19" t="s">
        <v>301</v>
      </c>
      <c r="F901" s="13">
        <v>961</v>
      </c>
      <c r="G901" s="13">
        <v>83030</v>
      </c>
      <c r="H901" s="14"/>
      <c r="I901" s="15">
        <f t="shared" ref="I901:T902" si="181">I902</f>
        <v>4000000</v>
      </c>
      <c r="J901" s="15">
        <f t="shared" si="181"/>
        <v>-357896.57</v>
      </c>
      <c r="K901" s="15">
        <f t="shared" si="181"/>
        <v>-461562.5</v>
      </c>
      <c r="L901" s="15">
        <f t="shared" si="181"/>
        <v>-357965</v>
      </c>
      <c r="M901" s="15">
        <f t="shared" si="181"/>
        <v>917871.71</v>
      </c>
      <c r="N901" s="15">
        <f t="shared" si="181"/>
        <v>-314236</v>
      </c>
      <c r="O901" s="15">
        <f t="shared" si="181"/>
        <v>-722520.95</v>
      </c>
      <c r="P901" s="15">
        <f t="shared" si="181"/>
        <v>-434720.28</v>
      </c>
      <c r="Q901" s="15"/>
      <c r="R901" s="15"/>
      <c r="S901" s="15"/>
      <c r="T901" s="15">
        <f t="shared" si="181"/>
        <v>2071350.4100000001</v>
      </c>
      <c r="U901" s="15"/>
      <c r="V901" s="15"/>
      <c r="W901" s="15"/>
      <c r="X901" s="15"/>
      <c r="Y901" s="15">
        <f t="shared" ref="Y901:AH901" si="182">Y902</f>
        <v>4000000</v>
      </c>
      <c r="Z901" s="15"/>
      <c r="AA901" s="15"/>
      <c r="AB901" s="15"/>
      <c r="AC901" s="15"/>
      <c r="AD901" s="15">
        <f t="shared" si="182"/>
        <v>4000000</v>
      </c>
      <c r="AE901" s="15">
        <f t="shared" si="182"/>
        <v>0</v>
      </c>
      <c r="AF901" s="15">
        <f t="shared" si="182"/>
        <v>0</v>
      </c>
      <c r="AG901" s="15">
        <f t="shared" si="182"/>
        <v>0</v>
      </c>
      <c r="AH901" s="15">
        <f t="shared" si="182"/>
        <v>0</v>
      </c>
    </row>
    <row r="902" spans="1:38" s="44" customFormat="1" x14ac:dyDescent="0.25">
      <c r="A902" s="5" t="s">
        <v>59</v>
      </c>
      <c r="B902" s="5" t="s">
        <v>59</v>
      </c>
      <c r="C902" s="11">
        <v>99</v>
      </c>
      <c r="D902" s="11">
        <v>0</v>
      </c>
      <c r="E902" s="2" t="s">
        <v>301</v>
      </c>
      <c r="F902" s="11">
        <v>961</v>
      </c>
      <c r="G902" s="11">
        <v>83030</v>
      </c>
      <c r="H902" s="21">
        <v>800</v>
      </c>
      <c r="I902" s="20">
        <f t="shared" si="181"/>
        <v>4000000</v>
      </c>
      <c r="J902" s="20">
        <f t="shared" si="181"/>
        <v>-357896.57</v>
      </c>
      <c r="K902" s="20">
        <f t="shared" si="181"/>
        <v>-461562.5</v>
      </c>
      <c r="L902" s="20">
        <f t="shared" si="181"/>
        <v>-357965</v>
      </c>
      <c r="M902" s="20">
        <f t="shared" si="181"/>
        <v>917871.71</v>
      </c>
      <c r="N902" s="20">
        <f t="shared" si="181"/>
        <v>-314236</v>
      </c>
      <c r="O902" s="20">
        <f t="shared" si="181"/>
        <v>-722520.95</v>
      </c>
      <c r="P902" s="20">
        <f t="shared" si="181"/>
        <v>-434720.28</v>
      </c>
      <c r="Q902" s="20"/>
      <c r="R902" s="20"/>
      <c r="S902" s="20"/>
      <c r="T902" s="20">
        <f t="shared" si="181"/>
        <v>2071350.4100000001</v>
      </c>
      <c r="U902" s="20"/>
      <c r="V902" s="20"/>
      <c r="W902" s="20"/>
      <c r="X902" s="20"/>
      <c r="Y902" s="20">
        <f>Y903</f>
        <v>4000000</v>
      </c>
      <c r="Z902" s="20"/>
      <c r="AA902" s="20"/>
      <c r="AB902" s="20"/>
      <c r="AC902" s="20"/>
      <c r="AD902" s="20">
        <f>AD903</f>
        <v>4000000</v>
      </c>
      <c r="AF902" s="30"/>
      <c r="AG902" s="30"/>
      <c r="AH902" s="30"/>
      <c r="AI902" s="30"/>
      <c r="AJ902" s="30"/>
      <c r="AK902" s="30"/>
      <c r="AL902" s="30"/>
    </row>
    <row r="903" spans="1:38" x14ac:dyDescent="0.25">
      <c r="A903" s="5" t="s">
        <v>309</v>
      </c>
      <c r="B903" s="5" t="s">
        <v>309</v>
      </c>
      <c r="C903" s="11">
        <v>99</v>
      </c>
      <c r="D903" s="11">
        <v>0</v>
      </c>
      <c r="E903" s="2" t="s">
        <v>301</v>
      </c>
      <c r="F903" s="11">
        <v>961</v>
      </c>
      <c r="G903" s="11">
        <v>83030</v>
      </c>
      <c r="H903" s="21">
        <v>870</v>
      </c>
      <c r="I903" s="20">
        <v>4000000</v>
      </c>
      <c r="J903" s="20">
        <v>-357896.57</v>
      </c>
      <c r="K903" s="20">
        <v>-461562.5</v>
      </c>
      <c r="L903" s="20">
        <v>-357965</v>
      </c>
      <c r="M903" s="20">
        <v>917871.71</v>
      </c>
      <c r="N903" s="20">
        <v>-314236</v>
      </c>
      <c r="O903" s="20">
        <v>-722520.95</v>
      </c>
      <c r="P903" s="20">
        <v>-434720.28</v>
      </c>
      <c r="Q903" s="20"/>
      <c r="R903" s="20"/>
      <c r="S903" s="20">
        <v>-197620</v>
      </c>
      <c r="T903" s="20">
        <f>4000000+J903+K903+L903+M903+N903+O903+P903+S903</f>
        <v>2071350.4100000001</v>
      </c>
      <c r="U903" s="20"/>
      <c r="V903" s="20"/>
      <c r="W903" s="20"/>
      <c r="X903" s="20"/>
      <c r="Y903" s="20">
        <v>4000000</v>
      </c>
      <c r="Z903" s="20"/>
      <c r="AA903" s="20"/>
      <c r="AB903" s="20"/>
      <c r="AC903" s="20"/>
      <c r="AD903" s="20">
        <v>4000000</v>
      </c>
    </row>
    <row r="904" spans="1:38" x14ac:dyDescent="0.25">
      <c r="B904" s="79" t="s">
        <v>311</v>
      </c>
      <c r="C904" s="80"/>
      <c r="D904" s="80"/>
      <c r="E904" s="80"/>
      <c r="F904" s="80"/>
      <c r="G904" s="80"/>
      <c r="H904" s="80"/>
      <c r="I904" s="15">
        <f t="shared" ref="I904:O904" si="183">I11+I397+I430+I641+I665+I780+I788+I803+I845</f>
        <v>1178389242.5899997</v>
      </c>
      <c r="J904" s="15">
        <f t="shared" si="183"/>
        <v>16683639.809999995</v>
      </c>
      <c r="K904" s="15">
        <f t="shared" si="183"/>
        <v>102928124.49999999</v>
      </c>
      <c r="L904" s="15">
        <f t="shared" si="183"/>
        <v>3274956.7</v>
      </c>
      <c r="M904" s="15">
        <f t="shared" si="183"/>
        <v>0</v>
      </c>
      <c r="N904" s="15">
        <f t="shared" si="183"/>
        <v>2307876.16</v>
      </c>
      <c r="O904" s="15">
        <f t="shared" si="183"/>
        <v>0</v>
      </c>
      <c r="P904" s="15">
        <f>P11+P397+P430+P641+P665+P780+P788+P803+P845+P839</f>
        <v>63902620.339999996</v>
      </c>
      <c r="Q904" s="15"/>
      <c r="R904" s="15">
        <f>R11+R397+R430+R641+R665+R780+R788+R803+R845+R839</f>
        <v>-2.7284841053187847E-12</v>
      </c>
      <c r="S904" s="15">
        <f>SUM(S11:S903)</f>
        <v>83237244.989999995</v>
      </c>
      <c r="T904" s="15">
        <f>T11+T397+T430+T641+T665+T780+T788+T803+T845+T839</f>
        <v>1450723705.0899999</v>
      </c>
      <c r="U904" s="15"/>
      <c r="V904" s="15">
        <f>SUM(V11:V903)</f>
        <v>2520000</v>
      </c>
      <c r="W904" s="15"/>
      <c r="X904" s="15">
        <f>X11+X397+X430+X641+X665+X780+X845+X788+X803</f>
        <v>-990000</v>
      </c>
      <c r="Y904" s="15">
        <f>Y11+Y397+Y430+Y641+Y665+Y780+Y845+Y788+Y803</f>
        <v>1196526952.1099999</v>
      </c>
      <c r="Z904" s="15"/>
      <c r="AA904" s="15">
        <f>SUM(AA11:AA903)</f>
        <v>-21579204.5</v>
      </c>
      <c r="AB904" s="15"/>
      <c r="AC904" s="15">
        <f>AC11+AC397+AC430+AC641+AC665+AC780+AC845+AC788+AC803</f>
        <v>-93288947.400000006</v>
      </c>
      <c r="AD904" s="15">
        <f>AD11+AD397+AD430+AD641+AD665+AD780+AD845+AD788+AD803</f>
        <v>1348953621.3399997</v>
      </c>
    </row>
    <row r="905" spans="1:38" hidden="1" x14ac:dyDescent="0.25">
      <c r="C905" s="51"/>
      <c r="D905" s="51"/>
      <c r="E905" s="51"/>
      <c r="F905" s="48"/>
      <c r="G905" s="51"/>
      <c r="T905" s="9">
        <v>1124983842.5899999</v>
      </c>
      <c r="Y905" s="10">
        <v>1099493145.1099999</v>
      </c>
      <c r="Z905" s="10"/>
      <c r="AA905" s="10"/>
      <c r="AB905" s="10"/>
      <c r="AC905" s="10"/>
      <c r="AD905" s="10">
        <v>1399234989.9400001</v>
      </c>
    </row>
    <row r="906" spans="1:38" hidden="1" x14ac:dyDescent="0.25">
      <c r="C906" s="51"/>
      <c r="D906" s="51"/>
      <c r="E906" s="51"/>
      <c r="F906" s="48"/>
      <c r="G906" s="51"/>
      <c r="T906" s="9">
        <f>T904-T905</f>
        <v>325739862.5</v>
      </c>
      <c r="Y906" s="9">
        <f>Y904-Y905</f>
        <v>97033807</v>
      </c>
      <c r="Z906" s="9"/>
      <c r="AA906" s="9"/>
      <c r="AB906" s="9"/>
      <c r="AC906" s="9"/>
      <c r="AD906" s="9">
        <f>AD904-AD905</f>
        <v>-50281368.600000381</v>
      </c>
    </row>
    <row r="907" spans="1:38" ht="26.25" customHeight="1" x14ac:dyDescent="0.25">
      <c r="C907" s="51"/>
      <c r="D907" s="51"/>
      <c r="E907" s="51"/>
      <c r="F907" s="48"/>
      <c r="G907" s="51"/>
      <c r="T907" s="9" t="s">
        <v>320</v>
      </c>
      <c r="U907" s="8"/>
      <c r="V907" s="8"/>
      <c r="W907" s="8"/>
      <c r="X907" s="8"/>
      <c r="Y907" s="9"/>
      <c r="Z907" s="8"/>
      <c r="AA907" s="8"/>
      <c r="AB907" s="8"/>
      <c r="AC907" s="8"/>
      <c r="AD907" s="9"/>
    </row>
    <row r="908" spans="1:38" ht="4.5" hidden="1" customHeight="1" x14ac:dyDescent="0.25">
      <c r="C908" s="51"/>
      <c r="D908" s="51"/>
      <c r="E908" s="51"/>
      <c r="F908" s="48"/>
      <c r="G908" s="51"/>
      <c r="T908" s="9">
        <v>1178389242.5899999</v>
      </c>
      <c r="Y908" s="10">
        <v>1125158716.1099999</v>
      </c>
      <c r="Z908" s="10"/>
      <c r="AA908" s="10"/>
      <c r="AB908" s="10"/>
      <c r="AC908" s="10"/>
      <c r="AD908" s="10">
        <v>1441166973.24</v>
      </c>
    </row>
    <row r="909" spans="1:38" hidden="1" x14ac:dyDescent="0.25">
      <c r="C909" s="51"/>
      <c r="D909" s="51"/>
      <c r="E909" s="51"/>
      <c r="F909" s="48"/>
      <c r="G909" s="51"/>
      <c r="T909" s="9">
        <f>T908-T904</f>
        <v>-272334462.5</v>
      </c>
      <c r="Y909" s="9">
        <f>Y908-Y904</f>
        <v>-71368236</v>
      </c>
      <c r="Z909" s="9"/>
      <c r="AA909" s="9"/>
      <c r="AB909" s="9"/>
      <c r="AC909" s="9"/>
      <c r="AD909" s="9">
        <f>AD908-AD904</f>
        <v>92213351.900000334</v>
      </c>
    </row>
    <row r="910" spans="1:38" hidden="1" x14ac:dyDescent="0.25">
      <c r="C910" s="51"/>
      <c r="D910" s="51"/>
      <c r="E910" s="51"/>
      <c r="F910" s="48"/>
      <c r="G910" s="51"/>
      <c r="Y910" s="9"/>
      <c r="Z910" s="9"/>
      <c r="AA910" s="9"/>
      <c r="AB910" s="9"/>
      <c r="AC910" s="9"/>
      <c r="AD910" s="9"/>
    </row>
    <row r="911" spans="1:38" s="44" customFormat="1" x14ac:dyDescent="0.25">
      <c r="B911" s="42" t="s">
        <v>312</v>
      </c>
      <c r="C911" s="47"/>
      <c r="D911" s="47"/>
      <c r="E911" s="47"/>
      <c r="F911" s="34"/>
      <c r="G911" s="73" t="s">
        <v>313</v>
      </c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51"/>
      <c r="V911" s="51"/>
      <c r="W911" s="51"/>
      <c r="X911" s="51"/>
      <c r="Y911" s="81" t="s">
        <v>314</v>
      </c>
      <c r="Z911" s="81"/>
      <c r="AA911" s="81"/>
      <c r="AB911" s="81"/>
      <c r="AC911" s="81"/>
      <c r="AD911" s="81"/>
      <c r="AF911" s="30"/>
      <c r="AG911" s="30"/>
      <c r="AH911" s="30"/>
      <c r="AI911" s="30"/>
      <c r="AJ911" s="30"/>
      <c r="AK911" s="30"/>
      <c r="AL911" s="30"/>
    </row>
    <row r="912" spans="1:38" x14ac:dyDescent="0.25">
      <c r="B912" s="42"/>
      <c r="G912" s="72"/>
      <c r="H912" s="72"/>
      <c r="I912" s="72"/>
      <c r="J912" s="72"/>
      <c r="K912" s="72"/>
      <c r="L912" s="72"/>
      <c r="M912" s="72"/>
      <c r="N912" s="72"/>
      <c r="O912" s="72"/>
      <c r="P912" s="72"/>
      <c r="Q912" s="72"/>
      <c r="R912" s="72"/>
      <c r="S912" s="72"/>
      <c r="T912" s="73"/>
      <c r="U912" s="44"/>
      <c r="V912" s="44"/>
      <c r="W912" s="44"/>
      <c r="X912" s="44"/>
      <c r="Y912" s="10"/>
      <c r="Z912" s="10"/>
      <c r="AA912" s="10"/>
      <c r="AB912" s="10"/>
      <c r="AC912" s="10"/>
    </row>
    <row r="913" spans="25:30" x14ac:dyDescent="0.25">
      <c r="Y913" s="10"/>
      <c r="Z913" s="10"/>
      <c r="AA913" s="10"/>
      <c r="AB913" s="10"/>
      <c r="AC913" s="10"/>
      <c r="AD913" s="10"/>
    </row>
    <row r="914" spans="25:30" x14ac:dyDescent="0.25">
      <c r="Y914" s="9"/>
      <c r="Z914" s="9"/>
      <c r="AA914" s="9"/>
      <c r="AB914" s="9"/>
      <c r="AC914" s="9"/>
      <c r="AD914" s="9"/>
    </row>
    <row r="915" spans="25:30" x14ac:dyDescent="0.25">
      <c r="Y915" s="10"/>
      <c r="Z915" s="10"/>
      <c r="AA915" s="10"/>
      <c r="AB915" s="10"/>
      <c r="AC915" s="10"/>
      <c r="AD915" s="10"/>
    </row>
  </sheetData>
  <mergeCells count="8">
    <mergeCell ref="T2:AY2"/>
    <mergeCell ref="T4:AY4"/>
    <mergeCell ref="G912:T912"/>
    <mergeCell ref="B6:AD6"/>
    <mergeCell ref="B7:AD7"/>
    <mergeCell ref="B904:H904"/>
    <mergeCell ref="G911:T911"/>
    <mergeCell ref="Y911:AD911"/>
  </mergeCells>
  <pageMargins left="0.23622047244094491" right="0.23622047244094491" top="0.15748031496062992" bottom="0.15748031496062992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Accountant</cp:lastModifiedBy>
  <cp:lastPrinted>2020-10-08T06:22:27Z</cp:lastPrinted>
  <dcterms:created xsi:type="dcterms:W3CDTF">2020-01-15T08:52:32Z</dcterms:created>
  <dcterms:modified xsi:type="dcterms:W3CDTF">2020-10-08T06:22:32Z</dcterms:modified>
</cp:coreProperties>
</file>